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Ncepod-fs1\intranet\A - RESOURCES\Tools (SORT, audit tools, recommendation check lists)\Audit tools\2019 Pulmonary Embolism\"/>
    </mc:Choice>
  </mc:AlternateContent>
  <xr:revisionPtr revIDLastSave="0" documentId="13_ncr:1_{AF679F90-C065-45CF-B377-777FEA9C290D}" xr6:coauthVersionLast="46" xr6:coauthVersionMax="46" xr10:uidLastSave="{00000000-0000-0000-0000-000000000000}"/>
  <bookViews>
    <workbookView xWindow="-120" yWindow="-120" windowWidth="20730" windowHeight="11160" xr2:uid="{00000000-000D-0000-FFFF-FFFF00000000}"/>
  </bookViews>
  <sheets>
    <sheet name="Introduction" sheetId="2" r:id="rId1"/>
    <sheet name="Instructions" sheetId="3" r:id="rId2"/>
    <sheet name="Audit Tool" sheetId="6" r:id="rId3"/>
    <sheet name="Summary" sheetId="1" r:id="rId4"/>
    <sheet name="Recommendations" sheetId="4" r:id="rId5"/>
    <sheet name="Definitions" sheetId="9" r:id="rId6"/>
    <sheet name="Sheet7" sheetId="8" state="hidden" r:id="rId7"/>
    <sheet name="answer_sheet" sheetId="5" state="hidden" r:id="rId8"/>
  </sheets>
  <externalReferences>
    <externalReference r:id="rId9"/>
  </externalReferences>
  <definedNames>
    <definedName name="Answer1" localSheetId="6">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6">Sheet7!$C$16:$C$18</definedName>
    <definedName name="Answer2">'[1]answer sheet'!$A$3:$A$5</definedName>
    <definedName name="Answer3" localSheetId="6">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6">#REF!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6" l="1"/>
  <c r="M24" i="6" s="1"/>
  <c r="M25" i="6"/>
  <c r="M21" i="6"/>
  <c r="M19" i="6"/>
  <c r="H9" i="6"/>
  <c r="H10" i="6"/>
  <c r="H11" i="6"/>
  <c r="H12" i="6"/>
  <c r="H13" i="6"/>
  <c r="H14" i="6"/>
  <c r="H15" i="6"/>
  <c r="H16" i="6"/>
  <c r="H17" i="6"/>
  <c r="H8" i="6"/>
  <c r="AC25" i="6"/>
  <c r="AB25" i="6"/>
  <c r="W25" i="6"/>
  <c r="M26" i="6" l="1"/>
  <c r="M23" i="6"/>
  <c r="M20" i="6" s="1"/>
  <c r="S8" i="6"/>
  <c r="O8" i="6"/>
  <c r="M22" i="6" l="1"/>
  <c r="M29" i="6"/>
  <c r="L15" i="1" s="1"/>
  <c r="AA8" i="6"/>
  <c r="AA9" i="6"/>
  <c r="AA10" i="6"/>
  <c r="AA11" i="6"/>
  <c r="AA12" i="6"/>
  <c r="AA13" i="6"/>
  <c r="AA14" i="6"/>
  <c r="AA15" i="6"/>
  <c r="AA16" i="6"/>
  <c r="AA17" i="6"/>
  <c r="Y9" i="6"/>
  <c r="Y10" i="6"/>
  <c r="Y11" i="6"/>
  <c r="Y12" i="6"/>
  <c r="Y13" i="6"/>
  <c r="Y14" i="6"/>
  <c r="Y15" i="6"/>
  <c r="Y16" i="6"/>
  <c r="Y17" i="6"/>
  <c r="Y8" i="6"/>
  <c r="U8" i="6"/>
  <c r="S9" i="6"/>
  <c r="S10" i="6"/>
  <c r="S11" i="6"/>
  <c r="S12" i="6"/>
  <c r="S13" i="6"/>
  <c r="S14" i="6"/>
  <c r="S15" i="6"/>
  <c r="S16" i="6"/>
  <c r="S17" i="6"/>
  <c r="U9" i="6" l="1"/>
  <c r="U10" i="6"/>
  <c r="U11" i="6"/>
  <c r="U12" i="6"/>
  <c r="U13" i="6"/>
  <c r="U14" i="6"/>
  <c r="U15" i="6"/>
  <c r="U16" i="6"/>
  <c r="U17" i="6"/>
  <c r="P9" i="6" l="1"/>
  <c r="P10" i="6"/>
  <c r="P11" i="6"/>
  <c r="P12" i="6"/>
  <c r="P13" i="6"/>
  <c r="P14" i="6"/>
  <c r="P15" i="6"/>
  <c r="P16" i="6"/>
  <c r="P17" i="6"/>
  <c r="P8" i="6"/>
  <c r="Q16" i="6"/>
  <c r="Q9" i="6" l="1"/>
  <c r="Q10" i="6"/>
  <c r="Q11" i="6"/>
  <c r="Q12" i="6"/>
  <c r="Q13" i="6"/>
  <c r="Q14" i="6"/>
  <c r="Q15" i="6"/>
  <c r="Q17" i="6"/>
  <c r="Q8" i="6"/>
  <c r="O16" i="6"/>
  <c r="O9" i="6" l="1"/>
  <c r="O10" i="6"/>
  <c r="O11" i="6"/>
  <c r="O12" i="6"/>
  <c r="O13" i="6"/>
  <c r="O14" i="6"/>
  <c r="O15" i="6"/>
  <c r="O17" i="6"/>
  <c r="H25" i="6" l="1"/>
  <c r="G25" i="6"/>
  <c r="AI25" i="6" l="1"/>
  <c r="U25" i="6"/>
  <c r="AJ25" i="6" l="1"/>
  <c r="AH25" i="6"/>
  <c r="AG25" i="6"/>
  <c r="AF25" i="6"/>
  <c r="AE25" i="6"/>
  <c r="AD25" i="6"/>
  <c r="AJ28" i="6"/>
  <c r="AJ24" i="6" s="1"/>
  <c r="AJ21" i="6"/>
  <c r="AJ19" i="6"/>
  <c r="AI28" i="6"/>
  <c r="AI24" i="6" s="1"/>
  <c r="AI21" i="6"/>
  <c r="AI19" i="6"/>
  <c r="AH28" i="6"/>
  <c r="AH24" i="6" s="1"/>
  <c r="AH21" i="6"/>
  <c r="AH19" i="6"/>
  <c r="AG28" i="6"/>
  <c r="AG24" i="6" s="1"/>
  <c r="AG21" i="6"/>
  <c r="AG19" i="6"/>
  <c r="AF28" i="6"/>
  <c r="AF24" i="6" s="1"/>
  <c r="AF21" i="6"/>
  <c r="AF19" i="6"/>
  <c r="AE28" i="6"/>
  <c r="AE24" i="6" s="1"/>
  <c r="AE21" i="6"/>
  <c r="AE19" i="6"/>
  <c r="AD28" i="6"/>
  <c r="AD24" i="6" s="1"/>
  <c r="AD21" i="6"/>
  <c r="AD19" i="6"/>
  <c r="AA25" i="6"/>
  <c r="Z25" i="6"/>
  <c r="Y25" i="6"/>
  <c r="X25" i="6"/>
  <c r="V25" i="6"/>
  <c r="T25" i="6"/>
  <c r="S25" i="6"/>
  <c r="R25" i="6"/>
  <c r="Q25" i="6"/>
  <c r="P25" i="6"/>
  <c r="O25" i="6"/>
  <c r="N25" i="6"/>
  <c r="L25" i="6"/>
  <c r="K25" i="6"/>
  <c r="J25" i="6"/>
  <c r="I25" i="6"/>
  <c r="F25" i="6"/>
  <c r="AJ26" i="6" l="1"/>
  <c r="AJ23" i="6"/>
  <c r="AJ22" i="6" s="1"/>
  <c r="AI26" i="6"/>
  <c r="AI23" i="6"/>
  <c r="AI22" i="6" s="1"/>
  <c r="AH26" i="6"/>
  <c r="AH23" i="6"/>
  <c r="AH22" i="6" s="1"/>
  <c r="AG26" i="6"/>
  <c r="AG23" i="6"/>
  <c r="AG22" i="6" s="1"/>
  <c r="AF26" i="6"/>
  <c r="AF23" i="6"/>
  <c r="AF22" i="6" s="1"/>
  <c r="AE26" i="6"/>
  <c r="AE23" i="6"/>
  <c r="AE22" i="6" s="1"/>
  <c r="AD26" i="6"/>
  <c r="AD23" i="6"/>
  <c r="AD20" i="6" s="1"/>
  <c r="AC28" i="6"/>
  <c r="AC24" i="6" s="1"/>
  <c r="AB28" i="6"/>
  <c r="AB24" i="6" s="1"/>
  <c r="AA28" i="6"/>
  <c r="AA24" i="6" s="1"/>
  <c r="Z28" i="6"/>
  <c r="Z24" i="6" s="1"/>
  <c r="AC21" i="6"/>
  <c r="AB21" i="6"/>
  <c r="AA21" i="6"/>
  <c r="Z21" i="6"/>
  <c r="AC19" i="6"/>
  <c r="AB19" i="6"/>
  <c r="AA19" i="6"/>
  <c r="Z19" i="6"/>
  <c r="Y28" i="6"/>
  <c r="Y24" i="6" s="1"/>
  <c r="X28" i="6"/>
  <c r="X24" i="6" s="1"/>
  <c r="Y21" i="6"/>
  <c r="X21" i="6"/>
  <c r="Y19" i="6"/>
  <c r="X19" i="6"/>
  <c r="AD29" i="6" l="1"/>
  <c r="R14" i="1" s="1"/>
  <c r="AH20" i="6"/>
  <c r="AH29" i="6" s="1"/>
  <c r="R18" i="1" s="1"/>
  <c r="AG20" i="6"/>
  <c r="AG29" i="6" s="1"/>
  <c r="R17" i="1" s="1"/>
  <c r="AJ20" i="6"/>
  <c r="AJ29" i="6" s="1"/>
  <c r="R20" i="1" s="1"/>
  <c r="AF20" i="6"/>
  <c r="AF29" i="6" s="1"/>
  <c r="R16" i="1" s="1"/>
  <c r="AE20" i="6"/>
  <c r="AE29" i="6" s="1"/>
  <c r="R15" i="1" s="1"/>
  <c r="AI20" i="6"/>
  <c r="AI29" i="6" s="1"/>
  <c r="AD22" i="6"/>
  <c r="Z26" i="6"/>
  <c r="AC26" i="6"/>
  <c r="AA26" i="6"/>
  <c r="AB26" i="6"/>
  <c r="X26" i="6"/>
  <c r="Z23" i="6"/>
  <c r="Z20" i="6" s="1"/>
  <c r="AC23" i="6"/>
  <c r="AC22" i="6" s="1"/>
  <c r="AA23" i="6"/>
  <c r="AA22" i="6" s="1"/>
  <c r="AB23" i="6"/>
  <c r="AB22" i="6" s="1"/>
  <c r="Y26" i="6"/>
  <c r="X23" i="6"/>
  <c r="X22" i="6" s="1"/>
  <c r="Y23" i="6"/>
  <c r="Y22" i="6" s="1"/>
  <c r="D25" i="5"/>
  <c r="Z29" i="6" l="1"/>
  <c r="Q14" i="1" s="1"/>
  <c r="R19" i="1"/>
  <c r="R22" i="1" s="1"/>
  <c r="X20" i="6"/>
  <c r="X29" i="6" s="1"/>
  <c r="P14" i="1" s="1"/>
  <c r="Z22" i="6"/>
  <c r="AB20" i="6"/>
  <c r="AC20" i="6"/>
  <c r="AA20" i="6"/>
  <c r="AA29" i="6" s="1"/>
  <c r="Q15" i="1" s="1"/>
  <c r="Y20" i="6"/>
  <c r="Y29" i="6" s="1"/>
  <c r="P15" i="1" s="1"/>
  <c r="W28" i="6"/>
  <c r="V28" i="6"/>
  <c r="U28" i="6"/>
  <c r="T28" i="6"/>
  <c r="S28" i="6"/>
  <c r="R28" i="6"/>
  <c r="Q28" i="6"/>
  <c r="P28" i="6"/>
  <c r="O28" i="6"/>
  <c r="N28" i="6"/>
  <c r="L28" i="6"/>
  <c r="K28" i="6"/>
  <c r="J28" i="6"/>
  <c r="I28" i="6"/>
  <c r="H28" i="6"/>
  <c r="G28" i="6"/>
  <c r="F28" i="6"/>
  <c r="AB29" i="6" l="1"/>
  <c r="Q16" i="1" s="1"/>
  <c r="AC29" i="6"/>
  <c r="Q17" i="1" s="1"/>
  <c r="P22" i="1"/>
  <c r="W24" i="6"/>
  <c r="V24" i="6"/>
  <c r="U24" i="6"/>
  <c r="W21" i="6"/>
  <c r="V21" i="6"/>
  <c r="U21" i="6"/>
  <c r="W19" i="6"/>
  <c r="V19" i="6"/>
  <c r="U19" i="6"/>
  <c r="H24" i="6"/>
  <c r="H21" i="6"/>
  <c r="H19" i="6"/>
  <c r="Q22" i="1" l="1"/>
  <c r="W23" i="6"/>
  <c r="W20" i="6" s="1"/>
  <c r="W26" i="6"/>
  <c r="U26" i="6"/>
  <c r="U29" i="6" s="1"/>
  <c r="V26" i="6"/>
  <c r="U23" i="6"/>
  <c r="U20" i="6" s="1"/>
  <c r="V23" i="6"/>
  <c r="V20" i="6" s="1"/>
  <c r="H26" i="6"/>
  <c r="H23" i="6"/>
  <c r="H22" i="6" s="1"/>
  <c r="W29" i="6" l="1"/>
  <c r="O15" i="1" s="1"/>
  <c r="V29" i="6"/>
  <c r="O14" i="1" s="1"/>
  <c r="N15" i="1"/>
  <c r="V22" i="6"/>
  <c r="W22" i="6"/>
  <c r="H20" i="6"/>
  <c r="U22" i="6"/>
  <c r="H29" i="6" l="1"/>
  <c r="J15" i="1" s="1"/>
  <c r="T21" i="6"/>
  <c r="T19" i="6"/>
  <c r="S21" i="6"/>
  <c r="S19" i="6"/>
  <c r="R21" i="6"/>
  <c r="R19" i="6"/>
  <c r="Q21" i="6"/>
  <c r="Q19" i="6"/>
  <c r="P21" i="6"/>
  <c r="P19" i="6"/>
  <c r="O21" i="6"/>
  <c r="O19" i="6"/>
  <c r="N21" i="6"/>
  <c r="N19" i="6"/>
  <c r="L21" i="6"/>
  <c r="L19" i="6"/>
  <c r="K21" i="6"/>
  <c r="K19" i="6"/>
  <c r="J21" i="6"/>
  <c r="J19" i="6"/>
  <c r="I21" i="6"/>
  <c r="I19" i="6"/>
  <c r="G21" i="6"/>
  <c r="G19" i="6"/>
  <c r="F21" i="6"/>
  <c r="F19" i="6"/>
  <c r="G24" i="6" l="1"/>
  <c r="F24" i="6"/>
  <c r="L24" i="6"/>
  <c r="R24" i="6"/>
  <c r="R26" i="6" l="1"/>
  <c r="L26" i="6"/>
  <c r="L23" i="6"/>
  <c r="L22" i="6" s="1"/>
  <c r="R23" i="6"/>
  <c r="R22" i="6" s="1"/>
  <c r="N24" i="6"/>
  <c r="L20" i="6" l="1"/>
  <c r="L29" i="6" s="1"/>
  <c r="L14" i="1" s="1"/>
  <c r="L22" i="1" s="1"/>
  <c r="R20" i="6"/>
  <c r="N23" i="6"/>
  <c r="N22" i="6" s="1"/>
  <c r="N26" i="6"/>
  <c r="S24" i="6"/>
  <c r="Q24" i="6"/>
  <c r="K24" i="6"/>
  <c r="J24" i="6"/>
  <c r="I24" i="6"/>
  <c r="S26" i="6" l="1"/>
  <c r="Q26" i="6"/>
  <c r="R29" i="6"/>
  <c r="M18" i="1" s="1"/>
  <c r="J26" i="6"/>
  <c r="N20" i="6"/>
  <c r="N29" i="6" s="1"/>
  <c r="M14" i="1" s="1"/>
  <c r="I23" i="6"/>
  <c r="I20" i="6" s="1"/>
  <c r="K23" i="6"/>
  <c r="K20" i="6" s="1"/>
  <c r="I26" i="6"/>
  <c r="K26" i="6"/>
  <c r="S23" i="6"/>
  <c r="S22" i="6" s="1"/>
  <c r="Q23" i="6"/>
  <c r="Q22" i="6" s="1"/>
  <c r="J23" i="6"/>
  <c r="J22" i="6" s="1"/>
  <c r="I29" i="6" l="1"/>
  <c r="J16" i="1" s="1"/>
  <c r="K29" i="6"/>
  <c r="K15" i="1" s="1"/>
  <c r="K22" i="6"/>
  <c r="I22" i="6"/>
  <c r="J20" i="6"/>
  <c r="J29" i="6" s="1"/>
  <c r="K14" i="1" s="1"/>
  <c r="K22" i="1" s="1"/>
  <c r="Q20" i="6"/>
  <c r="Q29" i="6" s="1"/>
  <c r="M17" i="1" s="1"/>
  <c r="S20" i="6"/>
  <c r="O22" i="1" l="1"/>
  <c r="S29" i="6"/>
  <c r="M19" i="1" s="1"/>
  <c r="T24" i="6"/>
  <c r="O24" i="6"/>
  <c r="P24" i="6"/>
  <c r="P23" i="6" l="1"/>
  <c r="P22" i="6" s="1"/>
  <c r="G23" i="6"/>
  <c r="G22" i="6" s="1"/>
  <c r="T23" i="6"/>
  <c r="T20" i="6" s="1"/>
  <c r="G26" i="6"/>
  <c r="O23" i="6"/>
  <c r="O22" i="6" s="1"/>
  <c r="T26" i="6"/>
  <c r="P26" i="6"/>
  <c r="O26" i="6"/>
  <c r="T29" i="6" l="1"/>
  <c r="N14" i="1" s="1"/>
  <c r="N22" i="1" s="1"/>
  <c r="G20" i="6"/>
  <c r="T22" i="6"/>
  <c r="P20" i="6"/>
  <c r="P29" i="6" s="1"/>
  <c r="M16" i="1" s="1"/>
  <c r="O20" i="6"/>
  <c r="O29" i="6" s="1"/>
  <c r="M15" i="1" s="1"/>
  <c r="G29" i="6" l="1"/>
  <c r="J14" i="1" s="1"/>
  <c r="J22" i="1" s="1"/>
  <c r="M22" i="1"/>
  <c r="F26" i="6"/>
  <c r="F23" i="6"/>
  <c r="F22" i="6" s="1"/>
  <c r="F20" i="6" l="1"/>
  <c r="F29" i="6" s="1"/>
  <c r="I14" i="1" s="1"/>
  <c r="I22" i="1" s="1"/>
</calcChain>
</file>

<file path=xl/sharedStrings.xml><?xml version="1.0" encoding="utf-8"?>
<sst xmlns="http://schemas.openxmlformats.org/spreadsheetml/2006/main" count="323" uniqueCount="225">
  <si>
    <t>Audit Toolkit</t>
  </si>
  <si>
    <t>info@ncepod.org.uk</t>
  </si>
  <si>
    <t>For information on the recommendation to which each question assesses please click on the         button</t>
  </si>
  <si>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</si>
  <si>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</si>
  <si>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</si>
  <si>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</si>
  <si>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</si>
  <si>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</si>
  <si>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</si>
  <si>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</si>
  <si>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</si>
  <si>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</si>
  <si>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</si>
  <si>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</si>
  <si>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</si>
  <si>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</si>
  <si>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</si>
  <si>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</si>
  <si>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</si>
  <si>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</si>
  <si>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</si>
  <si>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</si>
  <si>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</si>
  <si>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</si>
  <si>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</si>
  <si>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</si>
  <si>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</si>
  <si>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</si>
  <si>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</si>
  <si>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</si>
  <si>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Time of admission</t>
  </si>
  <si>
    <t>Date of admission</t>
  </si>
  <si>
    <t>dd/mm/yyyy</t>
  </si>
  <si>
    <t>Answer1_gender</t>
  </si>
  <si>
    <t>Answer2</t>
  </si>
  <si>
    <t>Not applicable</t>
  </si>
  <si>
    <t>Answer4</t>
  </si>
  <si>
    <t>Answer6</t>
  </si>
  <si>
    <t>Answer7</t>
  </si>
  <si>
    <t>Answer8</t>
  </si>
  <si>
    <t>Number of cases included in audit</t>
  </si>
  <si>
    <t>Question number</t>
  </si>
  <si>
    <t>Recommendation - Sub criteria questions (score)</t>
  </si>
  <si>
    <t>RAG system (NCEPOD recommends these are set at the following limits, however these can be adapted by your Trust where appropriate by amending the thresholds as required)</t>
  </si>
  <si>
    <t>%</t>
  </si>
  <si>
    <t>Green</t>
  </si>
  <si>
    <t>Amber</t>
  </si>
  <si>
    <t>Average % of recommendation</t>
  </si>
  <si>
    <t>Recommendation - Sub criteria question number (reference only)</t>
  </si>
  <si>
    <t>Red</t>
  </si>
  <si>
    <t>50-99</t>
  </si>
  <si>
    <t>0-49</t>
  </si>
  <si>
    <t>If the audit is undertaken on less than 10 patients, please delete the extra rows.</t>
  </si>
  <si>
    <t>For information on the recommendation to which each question assesses please click on the         button. This will take you to the Recommendations worksheet. Please click on the Audit tool tab to return to the main audit tool section.</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</si>
  <si>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</si>
  <si>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Recommendation 1</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</si>
  <si>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</si>
  <si>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</si>
  <si>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t>Summary data is given in the worksheet "Summary".</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</si>
  <si>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</si>
  <si>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yes</t>
  </si>
  <si>
    <t>Recommendation 7</t>
  </si>
  <si>
    <t>Recommendation 9</t>
  </si>
  <si>
    <t>Recommendation 11</t>
  </si>
  <si>
    <t>Age (on day 1 of the hospital admission) - years</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</si>
  <si>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</si>
  <si>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</si>
  <si>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</si>
  <si>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</si>
  <si>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</si>
  <si>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</si>
  <si>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</si>
  <si>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</si>
  <si>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</si>
  <si>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</si>
  <si>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</si>
  <si>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</si>
  <si>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</si>
  <si>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</si>
  <si>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</si>
  <si>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Admission details</t>
  </si>
  <si>
    <t>hh:mm (24 hour clock)</t>
  </si>
  <si>
    <t>This toolkit can be used in conjunction with the Recommendation Checklist. This can be found by clicking on the adjacent report image or at:</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</si>
  <si>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</si>
  <si>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</si>
  <si>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</si>
  <si>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</si>
  <si>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</si>
  <si>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</si>
  <si>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Principal recommendation</t>
  </si>
  <si>
    <t>Report recommendation number</t>
  </si>
  <si>
    <t>Recommendation number in report</t>
  </si>
  <si>
    <t>corresponding number in chart</t>
  </si>
  <si>
    <t>number in report</t>
  </si>
  <si>
    <t>No data/Not answered/Not documented/Unknown</t>
  </si>
  <si>
    <t>No data</t>
  </si>
  <si>
    <t>Pulmonary Embolism</t>
  </si>
  <si>
    <t>Please complete as many questions which are applicable to the care of the patient.  This NCEPOD study focused on patients aged 16 years or over with a new diagnosis of pulmonary embolism.</t>
  </si>
  <si>
    <t>https://www.ncepod.org.uk/2019pe.html</t>
  </si>
  <si>
    <t>Know The Score</t>
  </si>
  <si>
    <t>3a</t>
  </si>
  <si>
    <t>3b</t>
  </si>
  <si>
    <t>Recommendation 3</t>
  </si>
  <si>
    <t>Recommendation 4</t>
  </si>
  <si>
    <t>13a</t>
  </si>
  <si>
    <t>12a</t>
  </si>
  <si>
    <t>12b</t>
  </si>
  <si>
    <t>13b</t>
  </si>
  <si>
    <t>Recommendation 5</t>
  </si>
  <si>
    <t>Recommendation 10</t>
  </si>
  <si>
    <t>If the filter was temporary:</t>
  </si>
  <si>
    <t xml:space="preserve">Did the discharge letter include: </t>
  </si>
  <si>
    <t>Recommendation 6</t>
  </si>
  <si>
    <t xml:space="preserve">Recommendation 2 </t>
  </si>
  <si>
    <t>Did this patient have:</t>
  </si>
  <si>
    <r>
      <t xml:space="preserve">Calculate the clinical probability of pulmonary embolism in all patients presenting to hospital with a suspected new diagnosis of pulmonary embolism using a validated score, such as the ‘Wells Score’. Record the score in the clinical notes. This is in line with NICE CG144.
</t>
    </r>
    <r>
      <rPr>
        <i/>
        <sz val="12"/>
        <color theme="1"/>
        <rFont val="Calibri"/>
        <family val="2"/>
        <scheme val="minor"/>
      </rPr>
      <t>(Clinicians, particularly Emergency and Acute Medicine Physicians)</t>
    </r>
  </si>
  <si>
    <r>
      <t xml:space="preserve">Give an interim dose of anticoagulant to patients suspected of having an acute pulmonary embolism (unless contraindicated) when confirmation of the diagnosis is expected to be delayed by more than one hour. The anticoagulant selected, and its dose, should be personalised to the patient. This timing is in line with NICE QS29 2013.
</t>
    </r>
    <r>
      <rPr>
        <i/>
        <sz val="12"/>
        <color theme="1"/>
        <rFont val="Calibri"/>
        <family val="2"/>
        <scheme val="minor"/>
      </rPr>
      <t>(All Clinicians, Quality Improvement Lead)</t>
    </r>
  </si>
  <si>
    <r>
      <t xml:space="preserve">Look for indicators of massive (high-risk) or sub-massive (intermediate-risk) pulmonary embolism, in addition to calculating the severity of acute pulmonary embolism in the form of:
i. Haemodynamic instability (clinical)
ii. Right heart strain (imaging)
iii. Elevated troponin or brain natriuretic peptide (biochemical)
Escalate promptly based on local guidance and document in the case notes.
</t>
    </r>
    <r>
      <rPr>
        <i/>
        <sz val="12"/>
        <color rgb="FF0A0A0A"/>
        <rFont val="Calibri"/>
        <family val="2"/>
        <scheme val="minor"/>
      </rPr>
      <t>(All Clinicians)</t>
    </r>
  </si>
  <si>
    <r>
      <t xml:space="preserve">Document the severity of acute pulmonary embolism immediately after the confirmation of diagnosis. Severity should be assessed using a validated standardised tool, such as ‘PESI’ or ‘sPESI’. This score should then be considered when deciding on the level of inpatient or ambulatory care.
</t>
    </r>
    <r>
      <rPr>
        <i/>
        <sz val="12"/>
        <color rgb="FF0A0A0A"/>
        <rFont val="Calibri"/>
        <family val="2"/>
        <scheme val="minor"/>
      </rPr>
      <t>(All Clinicians)</t>
    </r>
  </si>
  <si>
    <r>
      <t xml:space="preserve">Assess patients suspected of having an acute pulmonary embolism for their suitability for ambulatory care and document the rationale for selecting or excluding it in the clinical notes.
</t>
    </r>
    <r>
      <rPr>
        <i/>
        <sz val="12"/>
        <color rgb="FF0A0A0A"/>
        <rFont val="Calibri"/>
        <family val="2"/>
        <scheme val="minor"/>
      </rPr>
      <t>(All Clinicians)</t>
    </r>
  </si>
  <si>
    <r>
      <t xml:space="preserve">Provide every patient with an acute pulmonary embolism with a follow-up plan, patient information leaflet and, at discharge, a discharge letter which should include:
i. The likely cause of the pulmonary embolism
ii. Whether it was provoked or unprovoked
iii. Details of follow-up appointment(s)
iv. Any further investigations required
v. Details of anticoagulant prescribed and its duration, in line with NICE CG144
</t>
    </r>
    <r>
      <rPr>
        <i/>
        <sz val="12"/>
        <color rgb="FF0A0A0A"/>
        <rFont val="Calibri"/>
        <family val="2"/>
        <scheme val="minor"/>
      </rPr>
      <t>(All Clinicians, Service Users, General Practitioners)</t>
    </r>
  </si>
  <si>
    <r>
      <t xml:space="preserve">Develop and document a monitoring and treatment escalation plan for, and with, all patients diagnosed with acute pulmonary embolism. Any reason for not doing so should also be documented in the case notes.
</t>
    </r>
    <r>
      <rPr>
        <i/>
        <sz val="12"/>
        <color theme="1"/>
        <rFont val="Calibri"/>
        <family val="2"/>
        <scheme val="minor"/>
      </rPr>
      <t>(All Clinicians, Clinical Directors)</t>
    </r>
  </si>
  <si>
    <r>
      <t xml:space="preserve">Document whether the inferior vena cava (IVC) filter inserted into a patient with pulmonary embolism is intended to be permanent or temporary. Temporary filters should have a retrieval date booked at the time of insertion and have a fail-safe tracking system to ensure the filter is removed, unless this becomes clinically inappropriate. This is in line with MHRA 2013 guidance.
</t>
    </r>
    <r>
      <rPr>
        <i/>
        <sz val="11"/>
        <color theme="1"/>
        <rFont val="Calibri"/>
        <family val="2"/>
        <scheme val="minor"/>
      </rPr>
      <t>(Interventional Radiologists)</t>
    </r>
  </si>
  <si>
    <t>Description</t>
  </si>
  <si>
    <r>
      <t xml:space="preserve">Standardise CT pulmonary angiogram reporting. The proforma should include the presence or absence of right ventricular strain. The completion of these proformas should be audited locally to monitor compliance and drive quality improvement. (At a national level, the Royal College of Radiologists with input from other clinical specialist societies such as the British Thoracic Society).
</t>
    </r>
    <r>
      <rPr>
        <i/>
        <sz val="12"/>
        <color rgb="FF0A0A0A"/>
        <rFont val="Calibri"/>
        <family val="2"/>
        <scheme val="minor"/>
      </rPr>
      <t>(Clinical Lead for Radiology and Quality Improvement Lead</t>
    </r>
  </si>
  <si>
    <t>N/A - new diagnosis of PE was an incidental finding on imaging</t>
  </si>
  <si>
    <t>N/A – contraindicated; not suspected of having an acute PE/PE incidentally diagnosed on imaging for another reason</t>
  </si>
  <si>
    <t>N/A - contraindicated; not suspected of having an acute PE</t>
  </si>
  <si>
    <t>Was the anticoagulant selected, and its dose, personalised to the patient?</t>
  </si>
  <si>
    <t>N/A - no CT performed</t>
  </si>
  <si>
    <t>Was the CT pulmonary angiogram reported using a  proforma or other standardised reporting system?</t>
  </si>
  <si>
    <t>N/A - no CTPA</t>
  </si>
  <si>
    <t>Did the CTPA report record right ventricular strain as present, absent or indeterminate?</t>
  </si>
  <si>
    <t>Was the presence or absence of indicators massive (high-risk) or sub-massive (intermediate-risk) PE looked at for this patient?</t>
  </si>
  <si>
    <t>Haemodynamic instability (clinical)?</t>
  </si>
  <si>
    <t>N/A - not indicated (already had this on CT or normal RV on CT and low severity score)</t>
  </si>
  <si>
    <t>Right heart assessment with point of care ultrasonography (POCUS)/echocardiography?</t>
  </si>
  <si>
    <t>N/A – not high or intermediate risk; no guidance</t>
  </si>
  <si>
    <t>N/A – not high or intermediate risk</t>
  </si>
  <si>
    <t>N/A - no ambulatory care pathway</t>
  </si>
  <si>
    <r>
      <rPr>
        <sz val="11"/>
        <color rgb="FF151515"/>
        <rFont val="Calibri"/>
        <family val="2"/>
        <scheme val="minor"/>
      </rPr>
      <t>Was this patient assessed for their suitability for ambulatory care?</t>
    </r>
    <r>
      <rPr>
        <sz val="11"/>
        <color rgb="FFFF0000"/>
        <rFont val="Calibri"/>
        <family val="2"/>
        <scheme val="minor"/>
      </rPr>
      <t xml:space="preserve">
</t>
    </r>
  </si>
  <si>
    <t>N/A – patient died before getting to this stage; DNACPR in place</t>
  </si>
  <si>
    <t>N/A – treatment was escalated</t>
  </si>
  <si>
    <t>Answer14</t>
  </si>
  <si>
    <t>N/A - already had an IVC filter</t>
  </si>
  <si>
    <t>Was a retrieval date booked at the time of insertion?</t>
  </si>
  <si>
    <t>Answer16</t>
  </si>
  <si>
    <t>N/A - decision made to convert to permanent filter/lost to follow-up/patient refused removal/removal planned but not yet performed</t>
  </si>
  <si>
    <t>Was the filter removed?</t>
  </si>
  <si>
    <t>N/A – patient died in hospital</t>
  </si>
  <si>
    <t>Answer17</t>
  </si>
  <si>
    <t>A follow-up plan?</t>
  </si>
  <si>
    <t>A patient information leaflet at discharge?</t>
  </si>
  <si>
    <t>The likely cause of the PE?</t>
  </si>
  <si>
    <t>Whether it was provoked or unprovoked?</t>
  </si>
  <si>
    <t>Details of follow-up appointment(s)?</t>
  </si>
  <si>
    <t>Details of anticoagulant prescribed and its duration?</t>
  </si>
  <si>
    <r>
      <t xml:space="preserve">Ensure there is a robust system in place to alert the clinician who requested a CTPA or V/Q scan or V/Q SPECT scan of any amendments or updates to the report. This in line with the Royal College of Radiologist’s communication standards for radiology reports 2016.
</t>
    </r>
    <r>
      <rPr>
        <i/>
        <sz val="12"/>
        <color theme="1"/>
        <rFont val="Calibri"/>
        <family val="2"/>
        <scheme val="minor"/>
      </rPr>
      <t>(Clinical Lead for Radiology)</t>
    </r>
  </si>
  <si>
    <t>Was the rationale for selecting or excluding ambulatory care documented in the case notes/EPR?</t>
  </si>
  <si>
    <r>
      <t xml:space="preserve">If </t>
    </r>
    <r>
      <rPr>
        <b/>
        <sz val="12"/>
        <color rgb="FFC00000"/>
        <rFont val="Calibri"/>
        <family val="2"/>
        <scheme val="minor"/>
      </rPr>
      <t>YES</t>
    </r>
    <r>
      <rPr>
        <sz val="12"/>
        <color theme="1"/>
        <rFont val="Calibri"/>
        <family val="2"/>
        <scheme val="minor"/>
      </rPr>
      <t>, was the intention of the filter documented as ‘permanent’ or ‘temporary’?</t>
    </r>
  </si>
  <si>
    <t>Elevated troponin or brain natriuretic peptide (biochemical)</t>
  </si>
  <si>
    <r>
      <t xml:space="preserve">If there was </t>
    </r>
    <r>
      <rPr>
        <b/>
        <sz val="12"/>
        <color rgb="FFC00000"/>
        <rFont val="Calibri"/>
        <family val="2"/>
        <scheme val="minor"/>
      </rPr>
      <t>NO</t>
    </r>
    <r>
      <rPr>
        <sz val="12"/>
        <rFont val="Calibri"/>
        <family val="2"/>
        <scheme val="minor"/>
      </rPr>
      <t xml:space="preserve"> treatment escalation, was the reason for not doing so documented in the case notes/EPR?</t>
    </r>
  </si>
  <si>
    <r>
      <t xml:space="preserve">If </t>
    </r>
    <r>
      <rPr>
        <b/>
        <sz val="12"/>
        <color rgb="FFC00000"/>
        <rFont val="Calibri"/>
        <family val="2"/>
        <scheme val="minor"/>
      </rPr>
      <t>YES</t>
    </r>
    <r>
      <rPr>
        <sz val="12"/>
        <color rgb="FFC00000"/>
        <rFont val="Calibri"/>
        <family val="2"/>
        <scheme val="minor"/>
      </rPr>
      <t>,</t>
    </r>
    <r>
      <rPr>
        <sz val="12"/>
        <color theme="1"/>
        <rFont val="Calibri"/>
        <family val="2"/>
        <scheme val="minor"/>
      </rPr>
      <t xml:space="preserve"> did it include:</t>
    </r>
  </si>
  <si>
    <t>Was an inferior vena cava (IVC) filter inserted into the patient?</t>
  </si>
  <si>
    <t>NCEPOD does not ask for any of this data back; it is for each Trust/Health Board to make a judgement as to whether they are meeting recommendations.</t>
  </si>
  <si>
    <r>
      <t xml:space="preserve">This data collection tool is made up of questions which can be used to assess how well your Trust is meeting recommendations made in </t>
    </r>
    <r>
      <rPr>
        <i/>
        <sz val="11"/>
        <color theme="1"/>
        <rFont val="Calibri"/>
        <family val="2"/>
        <scheme val="minor"/>
      </rPr>
      <t>"Know the Score"</t>
    </r>
  </si>
  <si>
    <r>
      <t xml:space="preserve">Thank you for downloading the toolkit for </t>
    </r>
    <r>
      <rPr>
        <i/>
        <sz val="11"/>
        <color theme="1"/>
        <rFont val="Calibri"/>
        <family val="2"/>
        <scheme val="minor"/>
      </rPr>
      <t xml:space="preserve">'Know the Score'. </t>
    </r>
    <r>
      <rPr>
        <sz val="11"/>
        <color theme="1"/>
        <rFont val="Calibri"/>
        <family val="2"/>
        <scheme val="minor"/>
      </rPr>
      <t>We hope you find this useful and if you have any feedback please contact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</si>
  <si>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17a</t>
  </si>
  <si>
    <t>17b</t>
  </si>
  <si>
    <t>18a</t>
  </si>
  <si>
    <t>18b</t>
  </si>
  <si>
    <t>19a</t>
  </si>
  <si>
    <t>19b</t>
  </si>
  <si>
    <t>20a</t>
  </si>
  <si>
    <t>20b</t>
  </si>
  <si>
    <t>Was a monitoring and treatment escalation plan documented in the case notes/EPR?</t>
  </si>
  <si>
    <t>Not all the report recommendations have been listed here as some are not suitable for an audit tool.  A full list can be found in the report here https://www.ncepod.org.uk/2019pe.html</t>
  </si>
  <si>
    <t>Answer18</t>
  </si>
  <si>
    <t>N/A – patient died in hospital and/or further investigations not required</t>
  </si>
  <si>
    <t>Any further investigations were required?</t>
  </si>
  <si>
    <t>Was there an amendment or update to the CTPA or V/Q scan or V/Q SPECT scan report? (your answer will not affect scoring in this tool)</t>
  </si>
  <si>
    <t>Answer19</t>
  </si>
  <si>
    <t>N/A – no amendments/updates</t>
  </si>
  <si>
    <t>Was the 'Wells' score' or other validated PE probability score recorded in the case notes/electronic patient record (EPR)?</t>
  </si>
  <si>
    <t>11a</t>
  </si>
  <si>
    <t>11bi</t>
  </si>
  <si>
    <t>11bii</t>
  </si>
  <si>
    <t>11biii</t>
  </si>
  <si>
    <t>16a</t>
  </si>
  <si>
    <t>16b</t>
  </si>
  <si>
    <t>20c</t>
  </si>
  <si>
    <t>20d</t>
  </si>
  <si>
    <t>20e</t>
  </si>
  <si>
    <r>
      <rPr>
        <b/>
        <sz val="12"/>
        <color rgb="FFFF0000"/>
        <rFont val="Calibri"/>
        <family val="2"/>
        <scheme val="minor"/>
      </rPr>
      <t>If YES</t>
    </r>
    <r>
      <rPr>
        <sz val="12"/>
        <color theme="1"/>
        <rFont val="Calibri"/>
        <family val="2"/>
        <scheme val="minor"/>
      </rPr>
      <t>, was this communicated to the clinical team?</t>
    </r>
  </si>
  <si>
    <r>
      <rPr>
        <b/>
        <sz val="12"/>
        <color rgb="FFFF0000"/>
        <rFont val="Calibri"/>
        <family val="2"/>
        <scheme val="minor"/>
      </rPr>
      <t xml:space="preserve">If YES, </t>
    </r>
    <r>
      <rPr>
        <sz val="12"/>
        <rFont val="Calibri"/>
        <family val="2"/>
        <scheme val="minor"/>
      </rPr>
      <t>was this then documented in the case notes/EPR</t>
    </r>
  </si>
  <si>
    <r>
      <rPr>
        <sz val="12"/>
        <color theme="1"/>
        <rFont val="Calibri"/>
        <family val="2"/>
        <scheme val="minor"/>
      </rPr>
      <t xml:space="preserve">If high or intermediate risk, </t>
    </r>
    <r>
      <rPr>
        <sz val="12"/>
        <rFont val="Calibri"/>
        <family val="2"/>
        <scheme val="minor"/>
      </rPr>
      <t xml:space="preserve">was this case escalated </t>
    </r>
    <r>
      <rPr>
        <sz val="12"/>
        <color theme="1"/>
        <rFont val="Calibri"/>
        <family val="2"/>
        <scheme val="minor"/>
      </rPr>
      <t>promptly</t>
    </r>
    <r>
      <rPr>
        <sz val="12"/>
        <rFont val="Calibri"/>
        <family val="2"/>
        <scheme val="minor"/>
      </rPr>
      <t xml:space="preserve"> based on local guidance?</t>
    </r>
  </si>
  <si>
    <t>Other</t>
  </si>
  <si>
    <t>N/A - no IVC filter inserted OR permanent IVC filter</t>
  </si>
  <si>
    <t>Answer15b</t>
  </si>
  <si>
    <t>Answer15a</t>
  </si>
  <si>
    <t xml:space="preserve">Was diagnosis of PE delayed by more than one hour? </t>
  </si>
  <si>
    <r>
      <rPr>
        <b/>
        <sz val="11"/>
        <color rgb="FFFF0000"/>
        <rFont val="Calibri"/>
        <family val="2"/>
        <scheme val="minor"/>
      </rPr>
      <t>If YES</t>
    </r>
    <r>
      <rPr>
        <sz val="11"/>
        <rFont val="Calibri"/>
        <family val="2"/>
        <scheme val="minor"/>
      </rPr>
      <t>, was an interim dose of anticoagulant given (unless contraindicated) when confirmation of the diagnosis was expected to be delayed by more than one hour?</t>
    </r>
  </si>
  <si>
    <t>10a</t>
  </si>
  <si>
    <t>10b</t>
  </si>
  <si>
    <t xml:space="preserve">Was the severity of acute PE documented immediately after the confirmation of diagnosis?
</t>
  </si>
  <si>
    <t>Was the severity of acute PE assessed using a validated standardised tool such as ‘PESI’ or ‘sPESI’?</t>
  </si>
  <si>
    <t>Clinical feature</t>
  </si>
  <si>
    <t xml:space="preserve"> Points</t>
  </si>
  <si>
    <t>Clinical probability simplified score</t>
  </si>
  <si>
    <t>Active cancer (treatment ongoing, within 6 months, or palliative)</t>
  </si>
  <si>
    <t>Paralysis, paresis or recent plaster immobilisation of the lower extremities</t>
  </si>
  <si>
    <t>Recently bedridden for 3 days or more or major surgery within 12 weeks requiring general or regional anaesthesia</t>
  </si>
  <si>
    <t>Localised tenderness along the distribution of the deep venous system</t>
  </si>
  <si>
    <t>Entire leg swollen</t>
  </si>
  <si>
    <t>Calf swelling at least 3 cm larger than asymptomatic side</t>
  </si>
  <si>
    <t>Pitting oedema confined to the symptomatic leg</t>
  </si>
  <si>
    <t>Collateral superficial veins (non-varicose)</t>
  </si>
  <si>
    <t>Previously documented DVT</t>
  </si>
  <si>
    <t>An alternative diagnosis is at least as likely as DVT</t>
  </si>
  <si>
    <t>2 points or more</t>
  </si>
  <si>
    <t>DVT likely</t>
  </si>
  <si>
    <t>1 point or less</t>
  </si>
  <si>
    <t>DVT unlikely</t>
  </si>
  <si>
    <t>Wells'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</si>
</sst>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sz val="11"/>
      <color rgb="FF151515"/>
      <name val="Calibri"/>
      <family val="2"/>
      <scheme val="minor"/>
    </font>
    <font>
      <sz val="12"/>
      <color rgb="FF0A0A0A"/>
      <name val="Calibri"/>
      <family val="2"/>
      <scheme val="minor"/>
    </font>
    <font>
      <i/>
      <sz val="12"/>
      <color rgb="FF0A0A0A"/>
      <name val="Calibri"/>
      <family val="2"/>
      <scheme val="minor"/>
    </font>
    <font>
      <b/>
      <sz val="12"/>
      <color rgb="FFC00000"/>
      <name val="Calibri"/>
      <family val="2"/>
      <scheme val="minor"/>
    </font>
    <font>
      <sz val="12"/>
      <color rgb="FFC00000"/>
      <name val="Calibri"/>
      <family val="2"/>
      <scheme val="minor"/>
    </font>
    <font>
      <b/>
      <sz val="11"/>
      <color rgb="FFC00000"/>
      <name val="Calibri"/>
      <family val="2"/>
      <scheme val="minor"/>
    </font>
    <font>
      <sz val="11"/>
      <color rgb="FFC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thin">
        <color auto="1"/>
      </left>
      <right style="thin">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93">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3" fillId="2" borderId="0" xfId="0" applyFont="1" applyFill="1"/>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2" fillId="2" borderId="8" xfId="0" applyFont="1"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center"/>
    </xf>
    <xf numFmtId="0" fontId="0" fillId="2" borderId="0" xfId="0" applyFill="1" applyAlignment="1">
      <alignment horizontal="center"/>
    </xf>
    <xf numFmtId="0" fontId="2" fillId="0" borderId="0" xfId="0" applyFont="1" applyFill="1" applyAlignment="1">
      <alignment horizontal="left" vertical="top" wrapText="1"/>
    </xf>
    <xf numFmtId="1" fontId="2" fillId="2" borderId="0" xfId="0" applyNumberFormat="1" applyFont="1" applyFill="1"/>
    <xf numFmtId="0" fontId="9" fillId="2" borderId="1" xfId="0" applyFont="1" applyFill="1" applyBorder="1"/>
    <xf numFmtId="1" fontId="9" fillId="2" borderId="1" xfId="0" applyNumberFormat="1" applyFont="1" applyFill="1" applyBorder="1"/>
    <xf numFmtId="0" fontId="8" fillId="2" borderId="1" xfId="0" applyFont="1" applyFill="1" applyBorder="1"/>
    <xf numFmtId="1" fontId="8" fillId="2" borderId="1" xfId="0" applyNumberFormat="1" applyFont="1" applyFill="1" applyBorder="1" applyAlignment="1">
      <alignment horizontal="right"/>
    </xf>
    <xf numFmtId="0" fontId="10" fillId="0" borderId="1" xfId="0" applyFont="1" applyBorder="1"/>
    <xf numFmtId="0" fontId="10" fillId="0" borderId="7" xfId="0" applyFont="1" applyBorder="1" applyAlignment="1">
      <alignment horizontal="right"/>
    </xf>
    <xf numFmtId="0" fontId="12" fillId="0" borderId="0" xfId="0" applyFont="1" applyAlignment="1">
      <alignment horizontal="center" vertical="top" wrapText="1"/>
    </xf>
    <xf numFmtId="0" fontId="15" fillId="2"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5" fillId="2" borderId="0" xfId="0" applyFont="1" applyFill="1" applyAlignment="1">
      <alignment horizontal="left" vertical="top" wrapText="1"/>
    </xf>
    <xf numFmtId="0" fontId="12" fillId="0" borderId="0" xfId="0" applyFont="1" applyBorder="1" applyAlignment="1">
      <alignment horizontal="center" vertical="top" wrapText="1"/>
    </xf>
    <xf numFmtId="0" fontId="12" fillId="0" borderId="0" xfId="0" applyFont="1" applyAlignment="1">
      <alignment horizontal="left" vertical="top" wrapText="1"/>
    </xf>
    <xf numFmtId="1" fontId="12" fillId="0" borderId="0" xfId="0" applyNumberFormat="1" applyFont="1" applyAlignment="1">
      <alignment horizontal="left" vertical="top" wrapText="1"/>
    </xf>
    <xf numFmtId="0" fontId="12" fillId="0" borderId="0" xfId="0" applyFont="1" applyFill="1" applyAlignment="1">
      <alignment horizontal="left" vertical="top" wrapText="1"/>
    </xf>
    <xf numFmtId="0" fontId="12" fillId="2" borderId="14" xfId="0" applyFont="1" applyFill="1" applyBorder="1" applyAlignment="1">
      <alignment horizontal="center" vertical="top" wrapText="1"/>
    </xf>
    <xf numFmtId="0" fontId="12" fillId="0" borderId="9" xfId="0" applyFont="1" applyBorder="1" applyAlignment="1">
      <alignment horizontal="center" vertical="top" wrapText="1"/>
    </xf>
    <xf numFmtId="0" fontId="12"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18" fillId="0" borderId="0" xfId="0" applyFont="1"/>
    <xf numFmtId="0" fontId="1" fillId="0" borderId="0" xfId="0" applyFont="1"/>
    <xf numFmtId="0" fontId="14" fillId="2" borderId="4" xfId="0" applyFont="1" applyFill="1" applyBorder="1" applyAlignment="1">
      <alignment horizontal="center" vertical="top" wrapText="1"/>
    </xf>
    <xf numFmtId="20" fontId="12" fillId="0" borderId="0" xfId="0" applyNumberFormat="1" applyFont="1" applyAlignment="1">
      <alignment horizontal="center" vertical="top" wrapText="1"/>
    </xf>
    <xf numFmtId="14" fontId="12" fillId="0" borderId="0" xfId="0" applyNumberFormat="1" applyFont="1" applyAlignment="1">
      <alignment horizontal="center" vertical="top" wrapText="1"/>
    </xf>
    <xf numFmtId="0" fontId="13" fillId="2" borderId="1" xfId="0" applyFont="1" applyFill="1" applyBorder="1" applyAlignment="1">
      <alignment horizontal="left" vertical="top" wrapText="1"/>
    </xf>
    <xf numFmtId="0" fontId="0" fillId="0" borderId="0" xfId="0" applyAlignment="1">
      <alignment vertical="top" wrapText="1"/>
    </xf>
    <xf numFmtId="0" fontId="15" fillId="2" borderId="3" xfId="0" applyFont="1" applyFill="1" applyBorder="1" applyAlignment="1">
      <alignment horizontal="left" vertical="top" wrapText="1"/>
    </xf>
    <xf numFmtId="0" fontId="17" fillId="2" borderId="0" xfId="0" applyFont="1" applyFill="1" applyAlignment="1">
      <alignment horizontal="left" vertical="top" wrapText="1"/>
    </xf>
    <xf numFmtId="0" fontId="14" fillId="2" borderId="4" xfId="0" applyFont="1" applyFill="1" applyBorder="1" applyAlignment="1">
      <alignment horizontal="left" vertical="top" wrapText="1"/>
    </xf>
    <xf numFmtId="0" fontId="15" fillId="2" borderId="4" xfId="0" applyFont="1" applyFill="1" applyBorder="1" applyAlignment="1">
      <alignment horizontal="left" vertical="top" wrapText="1"/>
    </xf>
    <xf numFmtId="0" fontId="11" fillId="2" borderId="11" xfId="0" applyFont="1" applyFill="1" applyBorder="1" applyAlignment="1">
      <alignment horizontal="left" vertical="top" wrapText="1"/>
    </xf>
    <xf numFmtId="0" fontId="12" fillId="2" borderId="3"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0" borderId="0" xfId="0" applyFont="1" applyBorder="1" applyAlignment="1">
      <alignment horizontal="left" vertical="top" wrapText="1"/>
    </xf>
    <xf numFmtId="1" fontId="14" fillId="0" borderId="1" xfId="0" applyNumberFormat="1" applyFont="1" applyFill="1" applyBorder="1" applyAlignment="1">
      <alignment horizontal="left" vertical="top" wrapText="1"/>
    </xf>
    <xf numFmtId="0" fontId="12" fillId="4" borderId="0" xfId="0" applyFont="1" applyFill="1" applyAlignment="1">
      <alignment horizontal="center" vertical="top" wrapText="1"/>
    </xf>
    <xf numFmtId="0" fontId="12" fillId="4" borderId="0" xfId="0" applyFont="1" applyFill="1" applyAlignment="1">
      <alignment horizontal="left" vertical="top" wrapText="1"/>
    </xf>
    <xf numFmtId="1" fontId="15" fillId="0" borderId="1" xfId="0" applyNumberFormat="1" applyFont="1" applyFill="1" applyBorder="1" applyAlignment="1">
      <alignment horizontal="left" vertical="top" wrapText="1"/>
    </xf>
    <xf numFmtId="1" fontId="12" fillId="4" borderId="0" xfId="0" applyNumberFormat="1" applyFont="1" applyFill="1" applyAlignment="1">
      <alignment horizontal="left" vertical="top" wrapText="1"/>
    </xf>
    <xf numFmtId="0" fontId="12" fillId="0" borderId="0" xfId="0" applyFont="1" applyFill="1" applyAlignment="1">
      <alignment horizontal="center" vertical="top" wrapText="1"/>
    </xf>
    <xf numFmtId="0" fontId="12" fillId="2" borderId="0" xfId="0" applyFont="1" applyFill="1" applyAlignment="1">
      <alignment horizontal="left" vertical="top" wrapText="1"/>
    </xf>
    <xf numFmtId="0" fontId="0" fillId="0" borderId="0" xfId="0" applyFont="1" applyAlignment="1">
      <alignment vertical="top" wrapText="1"/>
    </xf>
    <xf numFmtId="0" fontId="15" fillId="2" borderId="9" xfId="0" applyFont="1" applyFill="1" applyBorder="1" applyAlignment="1">
      <alignment horizontal="center" vertical="top" wrapText="1"/>
    </xf>
    <xf numFmtId="0" fontId="15" fillId="0" borderId="0" xfId="0" applyFont="1" applyAlignment="1">
      <alignment horizontal="center" vertical="top" wrapText="1"/>
    </xf>
    <xf numFmtId="0" fontId="15" fillId="0" borderId="0" xfId="0" applyFont="1" applyBorder="1" applyAlignment="1">
      <alignment horizontal="center" vertical="top" wrapText="1"/>
    </xf>
    <xf numFmtId="0" fontId="12" fillId="4" borderId="6" xfId="0" applyFont="1" applyFill="1" applyBorder="1" applyAlignment="1">
      <alignment horizontal="center" vertical="top" wrapText="1"/>
    </xf>
    <xf numFmtId="0" fontId="12" fillId="0"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0" fontId="6" fillId="0" borderId="0" xfId="1" applyAlignment="1" applyProtection="1"/>
    <xf numFmtId="0" fontId="0" fillId="0" borderId="0" xfId="0" applyAlignment="1">
      <alignment horizontal="center" vertical="top" wrapText="1"/>
    </xf>
    <xf numFmtId="1" fontId="7" fillId="0" borderId="1" xfId="0" applyNumberFormat="1" applyFont="1" applyFill="1" applyBorder="1" applyAlignment="1">
      <alignment horizontal="center"/>
    </xf>
    <xf numFmtId="20" fontId="12" fillId="0" borderId="0" xfId="0" applyNumberFormat="1" applyFont="1" applyFill="1" applyAlignment="1">
      <alignment horizontal="center" vertical="top" wrapText="1"/>
    </xf>
    <xf numFmtId="14" fontId="12" fillId="0" borderId="0" xfId="0" applyNumberFormat="1" applyFont="1" applyFill="1" applyAlignment="1">
      <alignment horizontal="center" vertical="top" wrapText="1"/>
    </xf>
    <xf numFmtId="0" fontId="12" fillId="0" borderId="13" xfId="0" applyFont="1" applyFill="1" applyBorder="1" applyAlignment="1">
      <alignment horizontal="center" vertical="top" wrapText="1"/>
    </xf>
    <xf numFmtId="0" fontId="12" fillId="0" borderId="0" xfId="0" applyFont="1" applyFill="1" applyBorder="1" applyAlignment="1">
      <alignment horizontal="center" vertical="top" wrapText="1"/>
    </xf>
    <xf numFmtId="0" fontId="2" fillId="2" borderId="1" xfId="0" applyFont="1" applyFill="1" applyBorder="1" applyAlignment="1">
      <alignment horizontal="center" wrapText="1"/>
    </xf>
    <xf numFmtId="0" fontId="2" fillId="0" borderId="0" xfId="0" applyFont="1"/>
    <xf numFmtId="0" fontId="0" fillId="0" borderId="17" xfId="0" applyBorder="1" applyAlignment="1">
      <alignment horizontal="left" vertical="top" wrapText="1"/>
    </xf>
    <xf numFmtId="0" fontId="11" fillId="0" borderId="1" xfId="0" applyFont="1" applyFill="1" applyBorder="1" applyAlignment="1">
      <alignment horizontal="left" vertical="top" wrapText="1"/>
    </xf>
    <xf numFmtId="0" fontId="11" fillId="4" borderId="0" xfId="0" applyFont="1" applyFill="1" applyAlignment="1">
      <alignment horizontal="center" vertical="top" wrapText="1"/>
    </xf>
    <xf numFmtId="0" fontId="11" fillId="4" borderId="0" xfId="0" applyFont="1" applyFill="1" applyAlignment="1">
      <alignment horizontal="left" vertical="top" wrapText="1"/>
    </xf>
    <xf numFmtId="0" fontId="11" fillId="0" borderId="0" xfId="0" applyFont="1" applyAlignment="1">
      <alignment horizontal="left" vertical="top" wrapText="1"/>
    </xf>
    <xf numFmtId="0" fontId="0" fillId="0" borderId="1" xfId="0" applyBorder="1"/>
    <xf numFmtId="0" fontId="2" fillId="0" borderId="1" xfId="0" applyFont="1" applyBorder="1"/>
    <xf numFmtId="1" fontId="2" fillId="2" borderId="1" xfId="0" applyNumberFormat="1" applyFont="1" applyFill="1" applyBorder="1" applyAlignment="1">
      <alignment vertical="top" wrapText="1"/>
    </xf>
    <xf numFmtId="0" fontId="15" fillId="2" borderId="15" xfId="0" applyFont="1" applyFill="1" applyBorder="1" applyAlignment="1">
      <alignment horizontal="left" vertical="top" wrapText="1"/>
    </xf>
    <xf numFmtId="0" fontId="0" fillId="0" borderId="17" xfId="0" applyBorder="1" applyAlignment="1">
      <alignment horizontal="left" vertical="top" wrapText="1"/>
    </xf>
    <xf numFmtId="0" fontId="15" fillId="2" borderId="15" xfId="0" applyFont="1" applyFill="1" applyBorder="1" applyAlignment="1">
      <alignment horizontal="center" vertical="top" wrapText="1"/>
    </xf>
    <xf numFmtId="0" fontId="0" fillId="0" borderId="4" xfId="0" applyBorder="1" applyAlignment="1">
      <alignment horizontal="left" vertical="top" wrapText="1"/>
    </xf>
    <xf numFmtId="0" fontId="12" fillId="0" borderId="1" xfId="0" applyFont="1" applyBorder="1" applyAlignment="1">
      <alignment vertical="top" wrapText="1"/>
    </xf>
    <xf numFmtId="0" fontId="0" fillId="0" borderId="16" xfId="0" applyBorder="1" applyAlignment="1"/>
    <xf numFmtId="0" fontId="12" fillId="2" borderId="18" xfId="0" applyFont="1" applyFill="1" applyBorder="1" applyAlignment="1">
      <alignment horizontal="center" vertical="top" wrapText="1"/>
    </xf>
    <xf numFmtId="0" fontId="12" fillId="0" borderId="18" xfId="0" applyFont="1" applyBorder="1" applyAlignment="1">
      <alignment horizontal="center" vertical="top" wrapText="1"/>
    </xf>
    <xf numFmtId="0" fontId="0" fillId="0" borderId="18" xfId="0" applyBorder="1" applyAlignment="1">
      <alignment horizontal="center" vertical="top" wrapText="1"/>
    </xf>
    <xf numFmtId="0" fontId="20" fillId="0" borderId="1" xfId="0" applyFont="1" applyBorder="1" applyAlignment="1">
      <alignmen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Alignment="1">
      <alignment vertical="top" wrapText="1"/>
    </xf>
    <xf numFmtId="0" fontId="0" fillId="2" borderId="0" xfId="0" applyFill="1" applyBorder="1" applyAlignment="1">
      <alignment horizontal="center"/>
    </xf>
    <xf numFmtId="1" fontId="0" fillId="3" borderId="1" xfId="0" applyNumberFormat="1" applyFill="1" applyBorder="1" applyAlignment="1">
      <alignment horizontal="center"/>
    </xf>
    <xf numFmtId="1" fontId="0" fillId="3" borderId="7" xfId="0" applyNumberFormat="1" applyFill="1" applyBorder="1" applyAlignment="1">
      <alignment horizontal="center"/>
    </xf>
    <xf numFmtId="0" fontId="0" fillId="0" borderId="0" xfId="0" applyAlignment="1">
      <alignment vertical="top" wrapText="1"/>
    </xf>
    <xf numFmtId="0" fontId="11" fillId="0" borderId="15" xfId="0" applyFont="1" applyBorder="1" applyAlignment="1">
      <alignment horizontal="center"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0" borderId="0" xfId="0" applyFont="1" applyAlignment="1">
      <alignment vertical="top" wrapText="1"/>
    </xf>
    <xf numFmtId="0" fontId="15" fillId="2" borderId="0" xfId="0" applyFont="1" applyFill="1" applyAlignment="1">
      <alignment horizontal="center" vertical="top" wrapText="1"/>
    </xf>
    <xf numFmtId="0" fontId="13" fillId="2" borderId="1" xfId="0" applyFont="1" applyFill="1" applyBorder="1" applyAlignment="1">
      <alignment vertical="top" wrapText="1"/>
    </xf>
    <xf numFmtId="0" fontId="12" fillId="0" borderId="1" xfId="0" applyFont="1" applyFill="1" applyBorder="1" applyAlignment="1">
      <alignment vertical="top" wrapText="1"/>
    </xf>
    <xf numFmtId="0" fontId="15" fillId="0" borderId="1" xfId="0" applyFont="1" applyBorder="1" applyAlignment="1">
      <alignment vertical="top" wrapText="1"/>
    </xf>
    <xf numFmtId="0" fontId="18" fillId="0" borderId="1" xfId="0" applyFont="1" applyFill="1" applyBorder="1" applyAlignment="1">
      <alignment vertical="top" wrapText="1"/>
    </xf>
    <xf numFmtId="0" fontId="19" fillId="0" borderId="1" xfId="0" applyFont="1" applyFill="1" applyBorder="1" applyAlignment="1">
      <alignment vertical="top" wrapText="1"/>
    </xf>
    <xf numFmtId="0" fontId="13" fillId="0" borderId="0" xfId="0" applyFont="1" applyAlignment="1">
      <alignment vertical="top" wrapText="1"/>
    </xf>
    <xf numFmtId="0" fontId="0" fillId="0" borderId="0" xfId="0" applyAlignment="1">
      <alignment horizontal="center" vertical="top"/>
    </xf>
    <xf numFmtId="0" fontId="0" fillId="0" borderId="0" xfId="0" applyAlignment="1">
      <alignment horizontal="center" vertical="center"/>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14" fillId="0" borderId="0" xfId="0" applyFont="1" applyAlignment="1">
      <alignment horizontal="center" vertical="center" wrapText="1"/>
    </xf>
    <xf numFmtId="1" fontId="12" fillId="0" borderId="0" xfId="0" applyNumberFormat="1" applyFont="1" applyAlignment="1">
      <alignment horizontal="center" vertical="center" wrapText="1"/>
    </xf>
    <xf numFmtId="1" fontId="12" fillId="0" borderId="0" xfId="0" applyNumberFormat="1" applyFont="1" applyFill="1" applyAlignment="1">
      <alignment horizontal="center" vertical="center" wrapText="1"/>
    </xf>
    <xf numFmtId="1" fontId="15"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5" fillId="0" borderId="0" xfId="0" applyFont="1" applyAlignment="1">
      <alignment horizontal="center" vertical="center" wrapText="1"/>
    </xf>
    <xf numFmtId="0" fontId="0" fillId="0" borderId="0" xfId="0" applyFill="1" applyAlignment="1">
      <alignment horizontal="center" vertical="center"/>
    </xf>
    <xf numFmtId="0" fontId="0" fillId="0" borderId="0" xfId="0" applyAlignment="1">
      <alignment vertical="top" wrapText="1"/>
    </xf>
    <xf numFmtId="0" fontId="18" fillId="0" borderId="0" xfId="0" applyFont="1" applyFill="1" applyAlignment="1">
      <alignment vertical="top" wrapText="1"/>
    </xf>
    <xf numFmtId="0" fontId="15" fillId="0" borderId="1" xfId="0" applyFont="1" applyFill="1" applyBorder="1" applyAlignment="1">
      <alignment vertical="top" wrapText="1"/>
    </xf>
    <xf numFmtId="0" fontId="2" fillId="0" borderId="0" xfId="0" applyFont="1" applyAlignment="1">
      <alignment horizontal="right"/>
    </xf>
    <xf numFmtId="0" fontId="0" fillId="0" borderId="0" xfId="0" applyAlignment="1">
      <alignment horizontal="right"/>
    </xf>
    <xf numFmtId="0" fontId="0" fillId="0" borderId="21" xfId="0" applyBorder="1" applyAlignment="1">
      <alignment vertical="center"/>
    </xf>
    <xf numFmtId="0" fontId="2" fillId="0" borderId="21" xfId="0" applyFont="1" applyBorder="1" applyAlignment="1">
      <alignment vertical="center"/>
    </xf>
    <xf numFmtId="0" fontId="0" fillId="0" borderId="19" xfId="0" applyBorder="1" applyAlignment="1">
      <alignment vertical="center"/>
    </xf>
    <xf numFmtId="0" fontId="0" fillId="0" borderId="22" xfId="0" applyBorder="1" applyAlignment="1">
      <alignment horizontal="right"/>
    </xf>
    <xf numFmtId="0" fontId="2" fillId="0" borderId="22" xfId="0" applyFont="1" applyBorder="1" applyAlignment="1">
      <alignment horizontal="right"/>
    </xf>
    <xf numFmtId="0" fontId="0" fillId="0" borderId="9" xfId="0" applyBorder="1" applyAlignment="1">
      <alignment horizontal="right"/>
    </xf>
    <xf numFmtId="0" fontId="2" fillId="0" borderId="5" xfId="0" applyFont="1" applyBorder="1" applyAlignment="1">
      <alignment vertical="center"/>
    </xf>
    <xf numFmtId="0" fontId="2" fillId="0" borderId="1" xfId="0" applyFont="1" applyBorder="1" applyAlignment="1">
      <alignment horizontal="right" vertical="center"/>
    </xf>
    <xf numFmtId="0" fontId="0" fillId="2" borderId="0" xfId="0" applyFill="1" applyAlignment="1" applyProtection="1">
      <alignment vertical="top" wrapText="1"/>
      <protection locked="0"/>
    </xf>
    <xf numFmtId="0" fontId="0" fillId="0" borderId="0" xfId="0" applyAlignment="1">
      <alignment wrapText="1"/>
    </xf>
    <xf numFmtId="0" fontId="0" fillId="2" borderId="0" xfId="0" applyFill="1" applyAlignment="1" applyProtection="1">
      <alignment wrapText="1"/>
      <protection locked="0"/>
    </xf>
    <xf numFmtId="0" fontId="0" fillId="0" borderId="0" xfId="0" applyAlignment="1">
      <alignment vertical="top" wrapText="1"/>
    </xf>
    <xf numFmtId="0" fontId="11" fillId="0" borderId="15" xfId="0" applyFont="1" applyBorder="1" applyAlignment="1">
      <alignment horizontal="center" vertical="top" wrapText="1"/>
    </xf>
    <xf numFmtId="0" fontId="0" fillId="0" borderId="17" xfId="0" applyBorder="1" applyAlignment="1">
      <alignment horizontal="center" vertical="top" wrapText="1"/>
    </xf>
    <xf numFmtId="0" fontId="0" fillId="0" borderId="16" xfId="0" applyBorder="1" applyAlignment="1">
      <alignment horizontal="center" vertical="top" wrapText="1"/>
    </xf>
    <xf numFmtId="0" fontId="12" fillId="0" borderId="15" xfId="0" applyFont="1" applyBorder="1" applyAlignment="1">
      <alignment horizontal="center" vertical="top" wrapText="1"/>
    </xf>
    <xf numFmtId="0" fontId="12" fillId="0" borderId="15" xfId="0" applyFont="1" applyBorder="1" applyAlignment="1">
      <alignment vertical="top" wrapText="1"/>
    </xf>
    <xf numFmtId="0" fontId="0" fillId="0" borderId="17" xfId="0" applyBorder="1" applyAlignment="1">
      <alignment vertical="top" wrapText="1"/>
    </xf>
    <xf numFmtId="0" fontId="0" fillId="0" borderId="16" xfId="0" applyBorder="1" applyAlignment="1">
      <alignment vertical="top" wrapText="1"/>
    </xf>
    <xf numFmtId="0" fontId="15" fillId="2" borderId="15" xfId="0" applyFont="1" applyFill="1" applyBorder="1" applyAlignment="1">
      <alignment horizontal="center" vertical="top" wrapText="1"/>
    </xf>
    <xf numFmtId="0" fontId="22" fillId="2" borderId="6" xfId="0" applyFont="1" applyFill="1" applyBorder="1" applyAlignment="1">
      <alignment horizontal="left" vertical="top" wrapText="1"/>
    </xf>
    <xf numFmtId="0" fontId="22" fillId="2" borderId="10" xfId="0" applyFont="1" applyFill="1" applyBorder="1" applyAlignment="1">
      <alignment horizontal="left" vertical="top" wrapText="1"/>
    </xf>
    <xf numFmtId="0" fontId="12" fillId="0" borderId="4" xfId="0" applyFont="1" applyBorder="1" applyAlignment="1">
      <alignment horizontal="center" vertical="top" wrapText="1"/>
    </xf>
    <xf numFmtId="0" fontId="11" fillId="0" borderId="4" xfId="0" applyFont="1" applyBorder="1" applyAlignment="1">
      <alignment horizontal="center" vertical="top" wrapText="1"/>
    </xf>
    <xf numFmtId="0" fontId="14" fillId="0" borderId="15" xfId="0" applyFont="1" applyFill="1" applyBorder="1" applyAlignment="1">
      <alignment horizontal="center" vertical="top" wrapText="1"/>
    </xf>
    <xf numFmtId="0" fontId="0" fillId="0" borderId="15" xfId="0" applyBorder="1" applyAlignment="1">
      <alignment horizontal="center" vertical="top" wrapText="1"/>
    </xf>
    <xf numFmtId="0" fontId="14" fillId="2" borderId="15" xfId="0" applyFont="1" applyFill="1" applyBorder="1" applyAlignment="1">
      <alignment horizontal="center" vertical="top" wrapText="1"/>
    </xf>
    <xf numFmtId="0" fontId="14" fillId="2" borderId="17" xfId="0" applyFont="1" applyFill="1" applyBorder="1" applyAlignment="1">
      <alignment horizontal="center" vertical="top" wrapText="1"/>
    </xf>
    <xf numFmtId="0" fontId="14" fillId="2" borderId="16" xfId="0" applyFont="1" applyFill="1" applyBorder="1" applyAlignment="1">
      <alignment horizontal="center" vertical="top" wrapText="1"/>
    </xf>
    <xf numFmtId="0" fontId="12" fillId="0" borderId="15" xfId="0" applyFont="1" applyBorder="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11" fillId="0" borderId="17" xfId="0" applyFont="1" applyBorder="1" applyAlignment="1">
      <alignment horizontal="center" vertical="top" wrapText="1"/>
    </xf>
    <xf numFmtId="0" fontId="11" fillId="0" borderId="16" xfId="0" applyFont="1" applyBorder="1" applyAlignment="1">
      <alignment horizontal="center" vertical="top" wrapText="1"/>
    </xf>
    <xf numFmtId="0" fontId="24" fillId="0" borderId="17" xfId="0" applyFont="1" applyBorder="1" applyAlignment="1">
      <alignment horizontal="left" vertical="top" wrapText="1"/>
    </xf>
    <xf numFmtId="0" fontId="25" fillId="0" borderId="17" xfId="0" applyFont="1" applyBorder="1" applyAlignment="1">
      <alignment vertical="top" wrapText="1"/>
    </xf>
    <xf numFmtId="0" fontId="15" fillId="0" borderId="15" xfId="0" applyFont="1" applyFill="1" applyBorder="1" applyAlignment="1">
      <alignment horizontal="center" vertical="top" wrapText="1"/>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0" borderId="6" xfId="0" applyBorder="1" applyAlignment="1">
      <alignment horizontal="center" vertical="top" wrapText="1"/>
    </xf>
    <xf numFmtId="0" fontId="3" fillId="0" borderId="19" xfId="0" applyFont="1" applyFill="1"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15" fillId="0" borderId="0" xfId="0" applyFont="1" applyFill="1" applyAlignment="1">
      <alignment horizontal="left" vertical="top" wrapText="1"/>
    </xf>
    <xf numFmtId="0" fontId="15" fillId="0" borderId="0" xfId="0" applyFont="1" applyFill="1" applyAlignment="1">
      <alignment horizontal="center" vertical="top" wrapText="1"/>
    </xf>
    <xf numFmtId="0" fontId="15" fillId="0" borderId="0" xfId="0" applyFont="1" applyFill="1" applyAlignment="1">
      <alignment horizontal="center" vertical="center" wrapText="1"/>
    </xf>
    <xf numFmtId="0" fontId="18" fillId="0" borderId="0" xfId="0" applyFont="1" applyAlignment="1">
      <alignment vertical="top" wrapText="1"/>
    </xf>
    <xf numFmtId="0" fontId="15" fillId="2" borderId="0" xfId="0" applyFont="1" applyFill="1" applyAlignment="1">
      <alignment horizontal="center" vertical="center" wrapText="1"/>
    </xf>
    <xf numFmtId="1" fontId="15" fillId="2" borderId="0" xfId="0" applyNumberFormat="1" applyFont="1" applyFill="1" applyAlignment="1">
      <alignment horizontal="left" vertical="top" wrapText="1"/>
    </xf>
    <xf numFmtId="1" fontId="15" fillId="2" borderId="0" xfId="0" applyNumberFormat="1" applyFont="1" applyFill="1" applyAlignment="1">
      <alignment horizontal="center" vertical="center" wrapText="1"/>
    </xf>
    <xf numFmtId="0" fontId="18" fillId="2" borderId="0" xfId="0" applyFont="1" applyFill="1" applyAlignment="1">
      <alignment vertical="top" wrapText="1"/>
    </xf>
  </cellXfs>
  <cellStyles count="2">
    <cellStyle name="Hyperlink" xfId="1" builtinId="8"/>
    <cellStyle name="Normal" xfId="0" builtinId="0"/>
  </cellStyles>
  <dxfs count="30">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recommendation has been met (%)</a:t>
            </a:r>
            <a:endParaRPr lang="en-GB"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00794511295569"/>
          <c:y val="0.16828946043144155"/>
          <c:w val="0.78529923037272709"/>
          <c:h val="0.78529923037272709"/>
        </c:manualLayout>
      </c:layout>
      <c:radarChart>
        <c:radarStyle val="filled"/>
        <c:varyColors val="0"/>
        <c:ser>
          <c:idx val="1"/>
          <c:order val="0"/>
          <c:spPr>
            <a:solidFill>
              <a:schemeClr val="accent2"/>
            </a:solidFill>
            <a:ln>
              <a:noFill/>
            </a:ln>
            <a:effectLst/>
          </c:spPr>
          <c:val>
            <c:numRef>
              <c:f>Summary!$I$12:$R$12</c:f>
              <c:numCache>
                <c:formatCode>General</c:formatCode>
                <c:ptCount val="10"/>
                <c:pt idx="0">
                  <c:v>7</c:v>
                </c:pt>
                <c:pt idx="1">
                  <c:v>1</c:v>
                </c:pt>
                <c:pt idx="2">
                  <c:v>3</c:v>
                </c:pt>
                <c:pt idx="3">
                  <c:v>2</c:v>
                </c:pt>
                <c:pt idx="4">
                  <c:v>4</c:v>
                </c:pt>
                <c:pt idx="5">
                  <c:v>9</c:v>
                </c:pt>
                <c:pt idx="6">
                  <c:v>5</c:v>
                </c:pt>
                <c:pt idx="7">
                  <c:v>10</c:v>
                </c:pt>
                <c:pt idx="8">
                  <c:v>11</c:v>
                </c:pt>
                <c:pt idx="9">
                  <c:v>6</c:v>
                </c:pt>
              </c:numCache>
            </c:numRef>
          </c:val>
          <c:extLst>
            <c:ext xmlns:c16="http://schemas.microsoft.com/office/drawing/2014/chart" uri="{C3380CC4-5D6E-409C-BE32-E72D297353CC}">
              <c16:uniqueId val="{00000000-7CE1-421C-8581-84743938E6E6}"/>
            </c:ext>
          </c:extLst>
        </c:ser>
        <c:ser>
          <c:idx val="0"/>
          <c:order val="1"/>
          <c:spPr>
            <a:solidFill>
              <a:schemeClr val="accent1"/>
            </a:solidFill>
            <a:ln>
              <a:noFill/>
            </a:ln>
            <a:effectLst/>
          </c:spPr>
          <c:val>
            <c:numRef>
              <c:f>Summary!$I$22:$R$22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CE1-421C-8581-84743938E6E6}"/>
            </c:ext>
          </c:extLst>
        </c:ser>
        <c:dLbls>
          <c:showLegendKey val="0"/>
          <c:showVal val="0"/>
          <c:showCatName val="0"/>
          <c:showSerName val="0"/>
          <c:showPercent val="0"/>
          <c:showBubbleSize val="0"/>
        </c:dLbls>
        <c:axId val="84998632"/>
        <c:axId val="85000200"/>
        <c:extLst/>
      </c:radarChart>
      <c:catAx>
        <c:axId val="84998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000200"/>
        <c:crosses val="autoZero"/>
        <c:auto val="1"/>
        <c:lblAlgn val="ctr"/>
        <c:lblOffset val="100"/>
        <c:noMultiLvlLbl val="0"/>
      </c:catAx>
      <c:valAx>
        <c:axId val="85000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98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19pe.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2"/><Relationship Id="rId13" Type="http://schemas.openxmlformats.org/officeDocument/2006/relationships/hyperlink" Target="#Recommendations!B19"/><Relationship Id="rId18" Type="http://schemas.openxmlformats.org/officeDocument/2006/relationships/hyperlink" Target="#Recommendations!A11"/><Relationship Id="rId3" Type="http://schemas.openxmlformats.org/officeDocument/2006/relationships/hyperlink" Target="#Recommendations!B6"/><Relationship Id="rId21" Type="http://schemas.openxmlformats.org/officeDocument/2006/relationships/hyperlink" Target="#Recommendations!A8"/><Relationship Id="rId7" Type="http://schemas.openxmlformats.org/officeDocument/2006/relationships/hyperlink" Target="#Recommendations!B10"/><Relationship Id="rId12" Type="http://schemas.openxmlformats.org/officeDocument/2006/relationships/hyperlink" Target="#Recommendations!B18"/><Relationship Id="rId17" Type="http://schemas.openxmlformats.org/officeDocument/2006/relationships/hyperlink" Target="#Recommendations!A7"/><Relationship Id="rId25" Type="http://schemas.openxmlformats.org/officeDocument/2006/relationships/hyperlink" Target="#Recommendations!A5"/><Relationship Id="rId2" Type="http://schemas.openxmlformats.org/officeDocument/2006/relationships/image" Target="../media/image2.gif"/><Relationship Id="rId16" Type="http://schemas.openxmlformats.org/officeDocument/2006/relationships/hyperlink" Target="#Recommendations!B24"/><Relationship Id="rId20" Type="http://schemas.openxmlformats.org/officeDocument/2006/relationships/hyperlink" Target="#Recommendations!A6"/><Relationship Id="rId1" Type="http://schemas.openxmlformats.org/officeDocument/2006/relationships/hyperlink" Target="#Recommendations!A10"/><Relationship Id="rId6" Type="http://schemas.openxmlformats.org/officeDocument/2006/relationships/hyperlink" Target="#Recommendations!B8"/><Relationship Id="rId11" Type="http://schemas.openxmlformats.org/officeDocument/2006/relationships/hyperlink" Target="#Recommendations!B15"/><Relationship Id="rId24" Type="http://schemas.openxmlformats.org/officeDocument/2006/relationships/hyperlink" Target="#Recommendations!A9"/><Relationship Id="rId5" Type="http://schemas.openxmlformats.org/officeDocument/2006/relationships/hyperlink" Target="#Recommendations!B4"/><Relationship Id="rId15" Type="http://schemas.openxmlformats.org/officeDocument/2006/relationships/hyperlink" Target="#Recommendations!B23"/><Relationship Id="rId23" Type="http://schemas.openxmlformats.org/officeDocument/2006/relationships/hyperlink" Target="#Recommendations!A13"/><Relationship Id="rId10" Type="http://schemas.openxmlformats.org/officeDocument/2006/relationships/hyperlink" Target="#Recommendations!B16"/><Relationship Id="rId19" Type="http://schemas.openxmlformats.org/officeDocument/2006/relationships/hyperlink" Target="#Recommendations!A4"/><Relationship Id="rId4" Type="http://schemas.openxmlformats.org/officeDocument/2006/relationships/hyperlink" Target="#Recommendations!B5"/><Relationship Id="rId9" Type="http://schemas.openxmlformats.org/officeDocument/2006/relationships/hyperlink" Target="#Recommendations!B14"/><Relationship Id="rId14" Type="http://schemas.openxmlformats.org/officeDocument/2006/relationships/hyperlink" Target="#Recommendations!B22"/><Relationship Id="rId22" Type="http://schemas.openxmlformats.org/officeDocument/2006/relationships/hyperlink" Target="#Recommendations!A12"/></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8"/><Relationship Id="rId3" Type="http://schemas.openxmlformats.org/officeDocument/2006/relationships/hyperlink" Target="#Recommendations!A4"/><Relationship Id="rId7" Type="http://schemas.openxmlformats.org/officeDocument/2006/relationships/hyperlink" Target="#Recommendations!A11"/><Relationship Id="rId12"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hyperlink" Target="#Recommendations!A10"/><Relationship Id="rId6" Type="http://schemas.openxmlformats.org/officeDocument/2006/relationships/hyperlink" Target="#Recommendations!A7"/><Relationship Id="rId11" Type="http://schemas.openxmlformats.org/officeDocument/2006/relationships/hyperlink" Target="#Recommendations!A9"/><Relationship Id="rId5" Type="http://schemas.openxmlformats.org/officeDocument/2006/relationships/hyperlink" Target="#Recommendations!A5"/><Relationship Id="rId10" Type="http://schemas.openxmlformats.org/officeDocument/2006/relationships/hyperlink" Target="#Recommendations!A13"/><Relationship Id="rId4" Type="http://schemas.openxmlformats.org/officeDocument/2006/relationships/hyperlink" Target="#Recommendations!A6"/><Relationship Id="rId9" Type="http://schemas.openxmlformats.org/officeDocument/2006/relationships/hyperlink" Target="#Recommendations!A12"/></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104775</xdr:colOff>
      <xdr:row>12</xdr:row>
      <xdr:rowOff>19050</xdr:rowOff>
    </xdr:from>
    <xdr:to>
      <xdr:col>2</xdr:col>
      <xdr:colOff>285750</xdr:colOff>
      <xdr:row>13</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0" y="3667125"/>
          <a:ext cx="180975" cy="172307"/>
        </a:xfrm>
        <a:prstGeom prst="rect">
          <a:avLst/>
        </a:prstGeom>
        <a:noFill/>
      </xdr:spPr>
    </xdr:pic>
    <xdr:clientData/>
  </xdr:twoCellAnchor>
  <xdr:twoCellAnchor>
    <xdr:from>
      <xdr:col>0</xdr:col>
      <xdr:colOff>523875</xdr:colOff>
      <xdr:row>6</xdr:row>
      <xdr:rowOff>152399</xdr:rowOff>
    </xdr:from>
    <xdr:to>
      <xdr:col>0</xdr:col>
      <xdr:colOff>1190625</xdr:colOff>
      <xdr:row>7</xdr:row>
      <xdr:rowOff>695324</xdr:rowOff>
    </xdr:to>
    <xdr:sp macro="" textlink="">
      <xdr:nvSpPr>
        <xdr:cNvPr id="4" name="Text Box 1">
          <a:hlinkClick xmlns:r="http://schemas.openxmlformats.org/officeDocument/2006/relationships" r:id="rId4"/>
          <a:extLst>
            <a:ext uri="{FF2B5EF4-FFF2-40B4-BE49-F238E27FC236}">
              <a16:creationId xmlns:a16="http://schemas.microsoft.com/office/drawing/2014/main" id="{00000000-0008-0000-0000-000004000000}"/>
            </a:ext>
          </a:extLst>
        </xdr:cNvPr>
        <xdr:cNvSpPr txBox="1">
          <a:spLocks noChangeArrowheads="1"/>
        </xdr:cNvSpPr>
      </xdr:nvSpPr>
      <xdr:spPr bwMode="auto">
        <a:xfrm>
          <a:off x="523875" y="1390649"/>
          <a:ext cx="666750" cy="7334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0</xdr:colOff>
      <xdr:row>3</xdr:row>
      <xdr:rowOff>9525</xdr:rowOff>
    </xdr:from>
    <xdr:to>
      <xdr:col>0</xdr:col>
      <xdr:colOff>3686175</xdr:colOff>
      <xdr:row>23</xdr:row>
      <xdr:rowOff>111131</xdr:rowOff>
    </xdr:to>
    <xdr:pic>
      <xdr:nvPicPr>
        <xdr:cNvPr id="5" name="Picture 4">
          <a:hlinkClick xmlns:r="http://schemas.openxmlformats.org/officeDocument/2006/relationships" r:id="rId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0" y="581025"/>
          <a:ext cx="3686175" cy="5226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13</xdr:row>
      <xdr:rowOff>20434</xdr:rowOff>
    </xdr:from>
    <xdr:to>
      <xdr:col>0</xdr:col>
      <xdr:colOff>5659162</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1743075</xdr:colOff>
      <xdr:row>2</xdr:row>
      <xdr:rowOff>38100</xdr:rowOff>
    </xdr:from>
    <xdr:ext cx="180975" cy="172307"/>
    <xdr:pic>
      <xdr:nvPicPr>
        <xdr:cNvPr id="110"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6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591925" y="447675"/>
          <a:ext cx="180975" cy="172307"/>
        </a:xfrm>
        <a:prstGeom prst="rect">
          <a:avLst/>
        </a:prstGeom>
        <a:noFill/>
      </xdr:spPr>
    </xdr:pic>
    <xdr:clientData/>
  </xdr:oneCellAnchor>
  <xdr:twoCellAnchor editAs="oneCell">
    <xdr:from>
      <xdr:col>21</xdr:col>
      <xdr:colOff>0</xdr:colOff>
      <xdr:row>3</xdr:row>
      <xdr:rowOff>57150</xdr:rowOff>
    </xdr:from>
    <xdr:to>
      <xdr:col>21</xdr:col>
      <xdr:colOff>0</xdr:colOff>
      <xdr:row>3</xdr:row>
      <xdr:rowOff>191357</xdr:rowOff>
    </xdr:to>
    <xdr:pic>
      <xdr:nvPicPr>
        <xdr:cNvPr id="2"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twoCellAnchor>
  <xdr:twoCellAnchor editAs="oneCell">
    <xdr:from>
      <xdr:col>16</xdr:col>
      <xdr:colOff>0</xdr:colOff>
      <xdr:row>3</xdr:row>
      <xdr:rowOff>57150</xdr:rowOff>
    </xdr:from>
    <xdr:to>
      <xdr:col>16</xdr:col>
      <xdr:colOff>0</xdr:colOff>
      <xdr:row>3</xdr:row>
      <xdr:rowOff>191357</xdr:rowOff>
    </xdr:to>
    <xdr:pic>
      <xdr:nvPicPr>
        <xdr:cNvPr id="3"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7"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0"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4"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6"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8"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19"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1"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2"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3"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4"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6" name="Picture 25"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21</xdr:col>
      <xdr:colOff>0</xdr:colOff>
      <xdr:row>3</xdr:row>
      <xdr:rowOff>57150</xdr:rowOff>
    </xdr:from>
    <xdr:to>
      <xdr:col>21</xdr:col>
      <xdr:colOff>0</xdr:colOff>
      <xdr:row>3</xdr:row>
      <xdr:rowOff>191357</xdr:rowOff>
    </xdr:to>
    <xdr:pic>
      <xdr:nvPicPr>
        <xdr:cNvPr id="27"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1</xdr:col>
      <xdr:colOff>657225</xdr:colOff>
      <xdr:row>3</xdr:row>
      <xdr:rowOff>57150</xdr:rowOff>
    </xdr:from>
    <xdr:to>
      <xdr:col>1</xdr:col>
      <xdr:colOff>657225</xdr:colOff>
      <xdr:row>3</xdr:row>
      <xdr:rowOff>191357</xdr:rowOff>
    </xdr:to>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twoCellAnchor>
  <xdr:oneCellAnchor>
    <xdr:from>
      <xdr:col>21</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16</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9</xdr:col>
      <xdr:colOff>857250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9</xdr:col>
      <xdr:colOff>857250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14</xdr:col>
      <xdr:colOff>857250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14</xdr:col>
      <xdr:colOff>857250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16</xdr:col>
      <xdr:colOff>104775</xdr:colOff>
      <xdr:row>2</xdr:row>
      <xdr:rowOff>28575</xdr:rowOff>
    </xdr:from>
    <xdr:ext cx="180975" cy="172307"/>
    <xdr:pic>
      <xdr:nvPicPr>
        <xdr:cNvPr id="51"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871275" y="438150"/>
          <a:ext cx="180975" cy="172307"/>
        </a:xfrm>
        <a:prstGeom prst="rect">
          <a:avLst/>
        </a:prstGeom>
        <a:noFill/>
      </xdr:spPr>
    </xdr:pic>
    <xdr:clientData/>
  </xdr:oneCellAnchor>
  <xdr:oneCellAnchor>
    <xdr:from>
      <xdr:col>15</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15</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21</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21</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21</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21</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21</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21</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21</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21</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21</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21</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21</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21</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21</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20</xdr:col>
      <xdr:colOff>790575</xdr:colOff>
      <xdr:row>2</xdr:row>
      <xdr:rowOff>28575</xdr:rowOff>
    </xdr:from>
    <xdr:ext cx="180975" cy="172307"/>
    <xdr:pic>
      <xdr:nvPicPr>
        <xdr:cNvPr id="91"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00000000-0008-0000-0200-00005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853350" y="438150"/>
          <a:ext cx="180975" cy="172307"/>
        </a:xfrm>
        <a:prstGeom prst="rect">
          <a:avLst/>
        </a:prstGeom>
        <a:noFill/>
      </xdr:spPr>
    </xdr:pic>
    <xdr:clientData/>
  </xdr:oneCellAnchor>
  <xdr:oneCellAnchor>
    <xdr:from>
      <xdr:col>7</xdr:col>
      <xdr:colOff>3419475</xdr:colOff>
      <xdr:row>2</xdr:row>
      <xdr:rowOff>28575</xdr:rowOff>
    </xdr:from>
    <xdr:ext cx="180975" cy="172307"/>
    <xdr:pic>
      <xdr:nvPicPr>
        <xdr:cNvPr id="103"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992475" y="438150"/>
          <a:ext cx="180975" cy="172307"/>
        </a:xfrm>
        <a:prstGeom prst="rect">
          <a:avLst/>
        </a:prstGeom>
        <a:noFill/>
      </xdr:spPr>
    </xdr:pic>
    <xdr:clientData/>
  </xdr:oneCellAnchor>
  <xdr:oneCellAnchor>
    <xdr:from>
      <xdr:col>10</xdr:col>
      <xdr:colOff>657225</xdr:colOff>
      <xdr:row>2</xdr:row>
      <xdr:rowOff>19050</xdr:rowOff>
    </xdr:from>
    <xdr:ext cx="180975" cy="172307"/>
    <xdr:pic>
      <xdr:nvPicPr>
        <xdr:cNvPr id="108"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650450" y="428625"/>
          <a:ext cx="180975" cy="172307"/>
        </a:xfrm>
        <a:prstGeom prst="rect">
          <a:avLst/>
        </a:prstGeom>
        <a:noFill/>
      </xdr:spPr>
    </xdr:pic>
    <xdr:clientData/>
  </xdr:oneCellAnchor>
  <xdr:oneCellAnchor>
    <xdr:from>
      <xdr:col>11</xdr:col>
      <xdr:colOff>857250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11</xdr:col>
      <xdr:colOff>857250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15</xdr:col>
      <xdr:colOff>857250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15</xdr:col>
      <xdr:colOff>857250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22</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19</xdr:col>
      <xdr:colOff>857250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19</xdr:col>
      <xdr:colOff>857250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19</xdr:col>
      <xdr:colOff>857250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19</xdr:col>
      <xdr:colOff>857250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20</xdr:col>
      <xdr:colOff>857250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20</xdr:col>
      <xdr:colOff>857250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21</xdr:col>
      <xdr:colOff>857250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21</xdr:col>
      <xdr:colOff>857250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1076325</xdr:colOff>
      <xdr:row>2</xdr:row>
      <xdr:rowOff>38100</xdr:rowOff>
    </xdr:from>
    <xdr:ext cx="180975" cy="172307"/>
    <xdr:pic>
      <xdr:nvPicPr>
        <xdr:cNvPr id="171"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00000000-0008-0000-0200-0000A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091975" y="447675"/>
          <a:ext cx="180975" cy="172307"/>
        </a:xfrm>
        <a:prstGeom prst="rect">
          <a:avLst/>
        </a:prstGeom>
        <a:noFill/>
      </xdr:spPr>
    </xdr:pic>
    <xdr:clientData/>
  </xdr:oneCellAnchor>
  <xdr:oneCellAnchor>
    <xdr:from>
      <xdr:col>24</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23</xdr:col>
      <xdr:colOff>857250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23</xdr:col>
      <xdr:colOff>857250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24</xdr:col>
      <xdr:colOff>257175</xdr:colOff>
      <xdr:row>2</xdr:row>
      <xdr:rowOff>47625</xdr:rowOff>
    </xdr:from>
    <xdr:ext cx="180975" cy="172307"/>
    <xdr:pic>
      <xdr:nvPicPr>
        <xdr:cNvPr id="263"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16375" y="457200"/>
          <a:ext cx="180975" cy="172307"/>
        </a:xfrm>
        <a:prstGeom prst="rect">
          <a:avLst/>
        </a:prstGeom>
        <a:noFill/>
      </xdr:spPr>
    </xdr:pic>
    <xdr:clientData/>
  </xdr:oneCellAnchor>
  <xdr:oneCellAnchor>
    <xdr:from>
      <xdr:col>26</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26</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27</xdr:col>
      <xdr:colOff>1323975</xdr:colOff>
      <xdr:row>2</xdr:row>
      <xdr:rowOff>19050</xdr:rowOff>
    </xdr:from>
    <xdr:ext cx="180975" cy="172307"/>
    <xdr:pic>
      <xdr:nvPicPr>
        <xdr:cNvPr id="266"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id="{00000000-0008-0000-0200-00000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674125" y="428625"/>
          <a:ext cx="180975" cy="172307"/>
        </a:xfrm>
        <a:prstGeom prst="rect">
          <a:avLst/>
        </a:prstGeom>
        <a:noFill/>
      </xdr:spPr>
    </xdr:pic>
    <xdr:clientData/>
  </xdr:oneCellAnchor>
  <xdr:oneCellAnchor>
    <xdr:from>
      <xdr:col>25</xdr:col>
      <xdr:colOff>857250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25</xdr:col>
      <xdr:colOff>857250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26</xdr:col>
      <xdr:colOff>857250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26</xdr:col>
      <xdr:colOff>857250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28</xdr:col>
      <xdr:colOff>857250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28</xdr:col>
      <xdr:colOff>857250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26</xdr:col>
      <xdr:colOff>857250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26</xdr:col>
      <xdr:colOff>857250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28</xdr:col>
      <xdr:colOff>857250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28</xdr:col>
      <xdr:colOff>857250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25</xdr:col>
      <xdr:colOff>857250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25</xdr:col>
      <xdr:colOff>857250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33</xdr:col>
      <xdr:colOff>828675</xdr:colOff>
      <xdr:row>2</xdr:row>
      <xdr:rowOff>38100</xdr:rowOff>
    </xdr:from>
    <xdr:ext cx="180975" cy="172307"/>
    <xdr:pic>
      <xdr:nvPicPr>
        <xdr:cNvPr id="279"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380350" y="447675"/>
          <a:ext cx="180975" cy="172307"/>
        </a:xfrm>
        <a:prstGeom prst="rect">
          <a:avLst/>
        </a:prstGeom>
        <a:noFill/>
      </xdr:spPr>
    </xdr:pic>
    <xdr:clientData/>
  </xdr:oneCellAnchor>
  <xdr:oneCellAnchor>
    <xdr:from>
      <xdr:col>12</xdr:col>
      <xdr:colOff>676275</xdr:colOff>
      <xdr:row>2</xdr:row>
      <xdr:rowOff>28575</xdr:rowOff>
    </xdr:from>
    <xdr:ext cx="180975" cy="172307"/>
    <xdr:pic>
      <xdr:nvPicPr>
        <xdr:cNvPr id="199"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60625" y="438150"/>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400050</xdr:colOff>
      <xdr:row>1</xdr:row>
      <xdr:rowOff>19050</xdr:rowOff>
    </xdr:from>
    <xdr:to>
      <xdr:col>8</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1</xdr:row>
      <xdr:rowOff>19050</xdr:rowOff>
    </xdr:from>
    <xdr:to>
      <xdr:col>9</xdr:col>
      <xdr:colOff>571500</xdr:colOff>
      <xdr:row>1</xdr:row>
      <xdr:rowOff>190500</xdr:rowOff>
    </xdr:to>
    <xdr:pic>
      <xdr:nvPicPr>
        <xdr:cNvPr id="5"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381000</xdr:colOff>
      <xdr:row>1</xdr:row>
      <xdr:rowOff>19050</xdr:rowOff>
    </xdr:from>
    <xdr:to>
      <xdr:col>10</xdr:col>
      <xdr:colOff>561975</xdr:colOff>
      <xdr:row>1</xdr:row>
      <xdr:rowOff>190500</xdr:rowOff>
    </xdr:to>
    <xdr:pic>
      <xdr:nvPicPr>
        <xdr:cNvPr id="6"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xdr:row>
      <xdr:rowOff>19050</xdr:rowOff>
    </xdr:from>
    <xdr:to>
      <xdr:col>11</xdr:col>
      <xdr:colOff>542925</xdr:colOff>
      <xdr:row>1</xdr:row>
      <xdr:rowOff>190500</xdr:rowOff>
    </xdr:to>
    <xdr:pic>
      <xdr:nvPicPr>
        <xdr:cNvPr id="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1</xdr:row>
      <xdr:rowOff>19050</xdr:rowOff>
    </xdr:from>
    <xdr:to>
      <xdr:col>12</xdr:col>
      <xdr:colOff>581025</xdr:colOff>
      <xdr:row>1</xdr:row>
      <xdr:rowOff>190500</xdr:rowOff>
    </xdr:to>
    <xdr:pic>
      <xdr:nvPicPr>
        <xdr:cNvPr id="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400050</xdr:colOff>
      <xdr:row>1</xdr:row>
      <xdr:rowOff>19050</xdr:rowOff>
    </xdr:from>
    <xdr:to>
      <xdr:col>13</xdr:col>
      <xdr:colOff>581025</xdr:colOff>
      <xdr:row>1</xdr:row>
      <xdr:rowOff>190500</xdr:rowOff>
    </xdr:to>
    <xdr:pic>
      <xdr:nvPicPr>
        <xdr:cNvPr id="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400050</xdr:colOff>
      <xdr:row>1</xdr:row>
      <xdr:rowOff>19050</xdr:rowOff>
    </xdr:from>
    <xdr:to>
      <xdr:col>14</xdr:col>
      <xdr:colOff>581025</xdr:colOff>
      <xdr:row>1</xdr:row>
      <xdr:rowOff>190500</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400050</xdr:colOff>
      <xdr:row>1</xdr:row>
      <xdr:rowOff>19050</xdr:rowOff>
    </xdr:from>
    <xdr:to>
      <xdr:col>15</xdr:col>
      <xdr:colOff>581025</xdr:colOff>
      <xdr:row>1</xdr:row>
      <xdr:rowOff>190500</xdr:rowOff>
    </xdr:to>
    <xdr:pic>
      <xdr:nvPicPr>
        <xdr:cNvPr id="1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409575</xdr:colOff>
      <xdr:row>1</xdr:row>
      <xdr:rowOff>19050</xdr:rowOff>
    </xdr:from>
    <xdr:to>
      <xdr:col>16</xdr:col>
      <xdr:colOff>590550</xdr:colOff>
      <xdr:row>1</xdr:row>
      <xdr:rowOff>190500</xdr:rowOff>
    </xdr:to>
    <xdr:pic>
      <xdr:nvPicPr>
        <xdr:cNvPr id="1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63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xdr:row>
      <xdr:rowOff>19050</xdr:rowOff>
    </xdr:from>
    <xdr:to>
      <xdr:col>17</xdr:col>
      <xdr:colOff>590550</xdr:colOff>
      <xdr:row>1</xdr:row>
      <xdr:rowOff>190500</xdr:rowOff>
    </xdr:to>
    <xdr:pic>
      <xdr:nvPicPr>
        <xdr:cNvPr id="1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27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161925</xdr:rowOff>
    </xdr:from>
    <xdr:to>
      <xdr:col>6</xdr:col>
      <xdr:colOff>600075</xdr:colOff>
      <xdr:row>21</xdr:row>
      <xdr:rowOff>161925</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8</xdr:col>
      <xdr:colOff>400050</xdr:colOff>
      <xdr:row>11</xdr:row>
      <xdr:rowOff>19050</xdr:rowOff>
    </xdr:from>
    <xdr:ext cx="180975" cy="171450"/>
    <xdr:pic>
      <xdr:nvPicPr>
        <xdr:cNvPr id="34"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5217"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11</xdr:row>
      <xdr:rowOff>19050</xdr:rowOff>
    </xdr:from>
    <xdr:ext cx="180975" cy="171450"/>
    <xdr:pic>
      <xdr:nvPicPr>
        <xdr:cNvPr id="35"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95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11</xdr:row>
      <xdr:rowOff>19050</xdr:rowOff>
    </xdr:from>
    <xdr:ext cx="180975" cy="171450"/>
    <xdr:pic>
      <xdr:nvPicPr>
        <xdr:cNvPr id="36"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3833"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11</xdr:row>
      <xdr:rowOff>19050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58617"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11</xdr:row>
      <xdr:rowOff>19050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105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11</xdr:row>
      <xdr:rowOff>19050</xdr:rowOff>
    </xdr:from>
    <xdr:ext cx="180975" cy="171450"/>
    <xdr:pic>
      <xdr:nvPicPr>
        <xdr:cNvPr id="39"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24383"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11</xdr:row>
      <xdr:rowOff>19050</xdr:rowOff>
    </xdr:from>
    <xdr:ext cx="180975" cy="171450"/>
    <xdr:pic>
      <xdr:nvPicPr>
        <xdr:cNvPr id="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38217"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11</xdr:row>
      <xdr:rowOff>19050</xdr:rowOff>
    </xdr:from>
    <xdr:ext cx="180975" cy="171450"/>
    <xdr:pic>
      <xdr:nvPicPr>
        <xdr:cNvPr id="4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5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11</xdr:row>
      <xdr:rowOff>19050</xdr:rowOff>
    </xdr:from>
    <xdr:ext cx="180975" cy="171450"/>
    <xdr:pic>
      <xdr:nvPicPr>
        <xdr:cNvPr id="4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75408"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11</xdr:row>
      <xdr:rowOff>19050</xdr:rowOff>
    </xdr:from>
    <xdr:ext cx="180975" cy="171450"/>
    <xdr:pic>
      <xdr:nvPicPr>
        <xdr:cNvPr id="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89242"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epod.org.uk/2019pe.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6"/>
  <sheetViews>
    <sheetView tabSelected="1" workbookViewId="0">
      <selection activeCell="B16" sqref="B16"/>
    </sheetView>
  </sheetViews>
  <sheetFormatPr defaultRowHeight="15" x14ac:dyDescent="0.25"/>
  <cols>
    <col min="1" max="1" width="55.42578125" style="2" customWidth="1"/>
    <col min="2" max="2" width="80.7109375" style="2" customWidth="1"/>
    <col min="3" max="16384" width="9.140625" style="2"/>
  </cols>
  <sheetData>
    <row r="1" spans="2:4" x14ac:dyDescent="0.25">
      <c r="B1" s="1"/>
    </row>
    <row r="2" spans="2:4" x14ac:dyDescent="0.25">
      <c r="B2" s="1"/>
    </row>
    <row r="3" spans="2:4" x14ac:dyDescent="0.25">
      <c r="B3" s="1"/>
    </row>
    <row r="4" spans="2:4" x14ac:dyDescent="0.25">
      <c r="B4" s="3"/>
    </row>
    <row r="5" spans="2:4" ht="18.75" x14ac:dyDescent="0.3">
      <c r="B5" s="4" t="s">
        <v>97</v>
      </c>
    </row>
    <row r="6" spans="2:4" ht="18.75" x14ac:dyDescent="0.3">
      <c r="B6" s="5" t="s">
        <v>0</v>
      </c>
    </row>
    <row r="7" spans="2:4" x14ac:dyDescent="0.25">
      <c r="B7" s="1"/>
    </row>
    <row r="8" spans="2:4" ht="78" customHeight="1" x14ac:dyDescent="0.25">
      <c r="B8" s="145" t="s">
        <v>167</v>
      </c>
      <c r="C8" s="146"/>
      <c r="D8" s="146"/>
    </row>
    <row r="9" spans="2:4" x14ac:dyDescent="0.25">
      <c r="B9" s="6" t="s">
        <v>1</v>
      </c>
    </row>
    <row r="10" spans="2:4" ht="15.75" customHeight="1" x14ac:dyDescent="0.25"/>
    <row r="11" spans="2:4" ht="33.75" customHeight="1" x14ac:dyDescent="0.25">
      <c r="B11" s="147" t="s">
        <v>98</v>
      </c>
      <c r="C11" s="146"/>
      <c r="D11" s="146"/>
    </row>
    <row r="13" spans="2:4" x14ac:dyDescent="0.25">
      <c r="B13" s="145" t="s">
        <v>2</v>
      </c>
      <c r="C13" s="148"/>
      <c r="D13" s="148"/>
    </row>
    <row r="15" spans="2:4" ht="28.5" customHeight="1" x14ac:dyDescent="0.25">
      <c r="B15" s="145" t="s">
        <v>83</v>
      </c>
      <c r="C15" s="148"/>
      <c r="D15" s="148"/>
    </row>
    <row r="16" spans="2:4" x14ac:dyDescent="0.25">
      <c r="B16" s="74" t="s">
        <v>99</v>
      </c>
    </row>
  </sheetData>
  <mergeCells count="4">
    <mergeCell ref="B8:D8"/>
    <mergeCell ref="B11:D11"/>
    <mergeCell ref="B13:D13"/>
    <mergeCell ref="B15:D15"/>
  </mergeCells>
  <hyperlinks>
    <hyperlink ref="B9" r:id="rId1" xr:uid="{00000000-0004-0000-0000-000000000000}"/>
    <hyperlink ref="B16" r:id="rId2"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10" sqref="A10"/>
    </sheetView>
  </sheetViews>
  <sheetFormatPr defaultRowHeight="15" x14ac:dyDescent="0.25"/>
  <cols>
    <col min="1" max="1" width="140.140625" style="2" customWidth="1"/>
    <col min="2" max="16384" width="9.140625" style="2"/>
  </cols>
  <sheetData>
    <row r="1" spans="1:1" ht="18.75" x14ac:dyDescent="0.3">
      <c r="A1" s="8" t="s">
        <v>3</v>
      </c>
    </row>
    <row r="2" spans="1:1" x14ac:dyDescent="0.25">
      <c r="A2" s="14" t="s">
        <v>165</v>
      </c>
    </row>
    <row r="3" spans="1:1" x14ac:dyDescent="0.25">
      <c r="A3" s="14"/>
    </row>
    <row r="4" spans="1:1" ht="45" x14ac:dyDescent="0.25">
      <c r="A4" s="9" t="s">
        <v>57</v>
      </c>
    </row>
    <row r="5" spans="1:1" x14ac:dyDescent="0.25">
      <c r="A5" s="9"/>
    </row>
    <row r="6" spans="1:1" x14ac:dyDescent="0.25">
      <c r="A6" s="2" t="s">
        <v>166</v>
      </c>
    </row>
    <row r="8" spans="1:1" x14ac:dyDescent="0.25">
      <c r="A8" s="10" t="s">
        <v>4</v>
      </c>
    </row>
    <row r="9" spans="1:1" x14ac:dyDescent="0.25">
      <c r="A9" s="11" t="s">
        <v>5</v>
      </c>
    </row>
    <row r="10" spans="1:1" x14ac:dyDescent="0.25">
      <c r="A10" s="11" t="s">
        <v>53</v>
      </c>
    </row>
    <row r="11" spans="1:1" ht="30" x14ac:dyDescent="0.25">
      <c r="A11" s="12" t="s">
        <v>6</v>
      </c>
    </row>
    <row r="12" spans="1:1" x14ac:dyDescent="0.25">
      <c r="A12" s="13" t="s">
        <v>7</v>
      </c>
    </row>
    <row r="13" spans="1:1" x14ac:dyDescent="0.25">
      <c r="A13" s="13"/>
    </row>
    <row r="14" spans="1:1" ht="30" x14ac:dyDescent="0.25">
      <c r="A14" s="7" t="s">
        <v>54</v>
      </c>
    </row>
    <row r="16" spans="1:1" x14ac:dyDescent="0.25">
      <c r="A16" s="2" t="s">
        <v>8</v>
      </c>
    </row>
    <row r="18" spans="1:1" ht="30" x14ac:dyDescent="0.25">
      <c r="A18" s="9" t="s">
        <v>55</v>
      </c>
    </row>
    <row r="20" spans="1:1" x14ac:dyDescent="0.25">
      <c r="A20" s="2" t="s">
        <v>59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7"/>
  <sheetViews>
    <sheetView workbookViewId="0">
      <pane xSplit="1" ySplit="6" topLeftCell="B7" activePane="bottomRight" state="frozen"/>
      <selection pane="topRight" activeCell="B1" sqref="B1"/>
      <selection pane="bottomLeft" activeCell="A7" sqref="A7"/>
      <selection pane="bottomRight" activeCell="B1" sqref="B1"/>
    </sheetView>
  </sheetViews>
  <sheetFormatPr defaultRowHeight="15.75" x14ac:dyDescent="0.25"/>
  <cols>
    <col min="1" max="1" width="33.85546875" style="32" customWidth="1"/>
    <col min="2" max="2" width="20" style="29" customWidth="1"/>
    <col min="3" max="3" width="10" style="29" customWidth="1"/>
    <col min="4" max="4" width="19.7109375" style="29" customWidth="1"/>
    <col min="5" max="5" width="25.5703125" style="29" customWidth="1"/>
    <col min="6" max="6" width="32.7109375" style="29" customWidth="1"/>
    <col min="7" max="7" width="46.7109375" style="29" customWidth="1"/>
    <col min="8" max="8" width="86" style="29" customWidth="1"/>
    <col min="9" max="9" width="42.42578125" style="29" customWidth="1"/>
    <col min="10" max="10" width="31" style="29" bestFit="1" customWidth="1"/>
    <col min="11" max="11" width="30.5703125" style="29" customWidth="1"/>
    <col min="12" max="13" width="29.140625" style="29" customWidth="1"/>
    <col min="14" max="14" width="24.85546875" style="29" customWidth="1"/>
    <col min="15" max="15" width="24.42578125" style="29" customWidth="1"/>
    <col min="16" max="16" width="61.7109375" style="29" customWidth="1"/>
    <col min="17" max="17" width="25.5703125" style="69" customWidth="1"/>
    <col min="18" max="18" width="35.28515625" style="29" customWidth="1"/>
    <col min="19" max="19" width="32.7109375" style="29" customWidth="1"/>
    <col min="20" max="20" width="30.85546875" style="29" customWidth="1"/>
    <col min="21" max="21" width="34.42578125" style="48" customWidth="1"/>
    <col min="22" max="22" width="24.85546875" style="65" customWidth="1"/>
    <col min="23" max="23" width="36.7109375" style="29" customWidth="1"/>
    <col min="24" max="24" width="46.42578125" style="65" customWidth="1"/>
    <col min="25" max="25" width="33" style="29" customWidth="1"/>
    <col min="26" max="26" width="29" style="29" customWidth="1"/>
    <col min="27" max="27" width="27.5703125" style="69" customWidth="1"/>
    <col min="28" max="28" width="37.5703125" style="29" customWidth="1"/>
    <col min="29" max="29" width="37.7109375" style="29" customWidth="1"/>
    <col min="30" max="30" width="21.28515625" style="29" customWidth="1"/>
    <col min="31" max="31" width="22.42578125" style="29" customWidth="1"/>
    <col min="32" max="32" width="27.5703125" style="29" bestFit="1" customWidth="1"/>
    <col min="33" max="33" width="24.42578125" style="29" customWidth="1"/>
    <col min="34" max="34" width="19.7109375" style="29" bestFit="1" customWidth="1"/>
    <col min="35" max="35" width="53.5703125" style="29" customWidth="1"/>
    <col min="36" max="36" width="26.5703125" style="29" customWidth="1"/>
    <col min="37" max="16384" width="9.140625" style="29"/>
  </cols>
  <sheetData>
    <row r="1" spans="1:36" s="34" customFormat="1" x14ac:dyDescent="0.25">
      <c r="A1" s="157" t="s">
        <v>100</v>
      </c>
      <c r="B1" s="32"/>
      <c r="C1" s="32"/>
      <c r="D1" s="32"/>
      <c r="E1" s="32"/>
      <c r="F1" s="32"/>
      <c r="G1" s="113"/>
      <c r="H1" s="113"/>
      <c r="I1" s="32"/>
      <c r="J1" s="32"/>
      <c r="K1" s="32"/>
      <c r="L1" s="32"/>
      <c r="M1" s="32"/>
      <c r="N1" s="32"/>
      <c r="O1" s="32"/>
      <c r="P1" s="32"/>
      <c r="Q1" s="32"/>
      <c r="R1" s="32"/>
      <c r="S1" s="32"/>
      <c r="T1" s="32"/>
      <c r="V1" s="36"/>
      <c r="X1" s="36"/>
      <c r="Z1" s="32"/>
      <c r="AA1" s="32"/>
      <c r="AB1" s="32"/>
      <c r="AC1" s="32"/>
    </row>
    <row r="2" spans="1:36" s="34" customFormat="1" ht="16.5" thickBot="1" x14ac:dyDescent="0.3">
      <c r="A2" s="158"/>
      <c r="B2" s="50"/>
      <c r="C2" s="32"/>
      <c r="D2" s="32"/>
      <c r="E2" s="32"/>
      <c r="F2" s="32"/>
      <c r="G2" s="113"/>
      <c r="H2" s="113"/>
      <c r="I2" s="32"/>
      <c r="J2" s="32"/>
      <c r="K2" s="32"/>
      <c r="L2" s="32"/>
      <c r="M2" s="32"/>
      <c r="N2" s="32"/>
      <c r="O2" s="32"/>
      <c r="P2" s="32"/>
      <c r="Q2" s="32"/>
      <c r="R2" s="32"/>
      <c r="S2" s="32"/>
      <c r="T2" s="32"/>
      <c r="V2" s="36"/>
      <c r="X2" s="36"/>
      <c r="Z2" s="32"/>
      <c r="AA2" s="32"/>
      <c r="AB2" s="32"/>
      <c r="AC2" s="32"/>
    </row>
    <row r="3" spans="1:36" ht="32.25" thickBot="1" x14ac:dyDescent="0.3">
      <c r="A3" s="51" t="s">
        <v>91</v>
      </c>
      <c r="B3" s="159"/>
      <c r="C3" s="159"/>
      <c r="D3" s="162"/>
      <c r="E3" s="151"/>
      <c r="F3" s="108" t="s">
        <v>62</v>
      </c>
      <c r="G3" s="163" t="s">
        <v>56</v>
      </c>
      <c r="H3" s="164"/>
      <c r="I3" s="165"/>
      <c r="J3" s="149" t="s">
        <v>103</v>
      </c>
      <c r="K3" s="151"/>
      <c r="L3" s="149" t="s">
        <v>114</v>
      </c>
      <c r="M3" s="151"/>
      <c r="N3" s="149" t="s">
        <v>104</v>
      </c>
      <c r="O3" s="150"/>
      <c r="P3" s="150"/>
      <c r="Q3" s="150"/>
      <c r="R3" s="150"/>
      <c r="S3" s="151"/>
      <c r="T3" s="149" t="s">
        <v>63</v>
      </c>
      <c r="U3" s="150"/>
      <c r="V3" s="149" t="s">
        <v>109</v>
      </c>
      <c r="W3" s="151"/>
      <c r="X3" s="149" t="s">
        <v>110</v>
      </c>
      <c r="Y3" s="151"/>
      <c r="Z3" s="149" t="s">
        <v>64</v>
      </c>
      <c r="AA3" s="169"/>
      <c r="AB3" s="169"/>
      <c r="AC3" s="170"/>
      <c r="AD3" s="149" t="s">
        <v>113</v>
      </c>
      <c r="AE3" s="150"/>
      <c r="AF3" s="150"/>
      <c r="AG3" s="150"/>
      <c r="AH3" s="150"/>
      <c r="AI3" s="150"/>
      <c r="AJ3" s="151"/>
    </row>
    <row r="4" spans="1:36" ht="16.5" thickBot="1" x14ac:dyDescent="0.3">
      <c r="A4" s="52"/>
      <c r="B4" s="160" t="s">
        <v>29</v>
      </c>
      <c r="C4" s="160"/>
      <c r="D4" s="161" t="s">
        <v>81</v>
      </c>
      <c r="E4" s="151"/>
      <c r="F4" s="44"/>
      <c r="G4" s="166"/>
      <c r="H4" s="167"/>
      <c r="I4" s="168"/>
      <c r="J4" s="83"/>
      <c r="K4" s="83"/>
      <c r="L4" s="52"/>
      <c r="M4" s="52"/>
      <c r="N4" s="94"/>
      <c r="O4" s="153" t="s">
        <v>163</v>
      </c>
      <c r="P4" s="154"/>
      <c r="Q4" s="155"/>
      <c r="R4" s="96"/>
      <c r="S4" s="93"/>
      <c r="T4" s="156"/>
      <c r="U4" s="150"/>
      <c r="V4" s="173"/>
      <c r="W4" s="150"/>
      <c r="X4" s="152"/>
      <c r="Y4" s="151"/>
      <c r="Z4" s="91"/>
      <c r="AA4" s="92"/>
      <c r="AB4" s="171" t="s">
        <v>111</v>
      </c>
      <c r="AC4" s="172"/>
      <c r="AD4" s="152" t="s">
        <v>115</v>
      </c>
      <c r="AE4" s="151"/>
      <c r="AF4" s="152" t="s">
        <v>112</v>
      </c>
      <c r="AG4" s="150"/>
      <c r="AH4" s="150"/>
      <c r="AI4" s="150"/>
      <c r="AJ4" s="151"/>
    </row>
    <row r="5" spans="1:36" x14ac:dyDescent="0.25">
      <c r="A5" s="53" t="s">
        <v>42</v>
      </c>
      <c r="B5" s="54">
        <v>1</v>
      </c>
      <c r="C5" s="55">
        <v>2</v>
      </c>
      <c r="D5" s="54" t="s">
        <v>101</v>
      </c>
      <c r="E5" s="55" t="s">
        <v>102</v>
      </c>
      <c r="F5" s="56">
        <v>4</v>
      </c>
      <c r="G5" s="57">
        <v>5</v>
      </c>
      <c r="H5" s="57">
        <v>6</v>
      </c>
      <c r="I5" s="57">
        <v>7</v>
      </c>
      <c r="J5" s="57">
        <v>8</v>
      </c>
      <c r="K5" s="57">
        <v>9</v>
      </c>
      <c r="L5" s="58" t="s">
        <v>203</v>
      </c>
      <c r="M5" s="58" t="s">
        <v>204</v>
      </c>
      <c r="N5" s="58" t="s">
        <v>185</v>
      </c>
      <c r="O5" s="37" t="s">
        <v>186</v>
      </c>
      <c r="P5" s="38" t="s">
        <v>187</v>
      </c>
      <c r="Q5" s="68" t="s">
        <v>188</v>
      </c>
      <c r="R5" s="57" t="s">
        <v>106</v>
      </c>
      <c r="S5" s="57" t="s">
        <v>107</v>
      </c>
      <c r="T5" s="57" t="s">
        <v>105</v>
      </c>
      <c r="U5" s="55" t="s">
        <v>108</v>
      </c>
      <c r="V5" s="79">
        <v>14</v>
      </c>
      <c r="W5" s="55">
        <v>15</v>
      </c>
      <c r="X5" s="79" t="s">
        <v>189</v>
      </c>
      <c r="Y5" s="55" t="s">
        <v>190</v>
      </c>
      <c r="Z5" s="38" t="s">
        <v>168</v>
      </c>
      <c r="AA5" s="68" t="s">
        <v>169</v>
      </c>
      <c r="AB5" s="97" t="s">
        <v>170</v>
      </c>
      <c r="AC5" s="97" t="s">
        <v>171</v>
      </c>
      <c r="AD5" s="98" t="s">
        <v>172</v>
      </c>
      <c r="AE5" s="99" t="s">
        <v>173</v>
      </c>
      <c r="AF5" s="99" t="s">
        <v>174</v>
      </c>
      <c r="AG5" s="99" t="s">
        <v>175</v>
      </c>
      <c r="AH5" s="99" t="s">
        <v>191</v>
      </c>
      <c r="AI5" s="99" t="s">
        <v>192</v>
      </c>
      <c r="AJ5" s="99" t="s">
        <v>193</v>
      </c>
    </row>
    <row r="6" spans="1:36" s="119" customFormat="1" ht="110.25" x14ac:dyDescent="0.25">
      <c r="A6" s="114"/>
      <c r="B6" s="115" t="s">
        <v>65</v>
      </c>
      <c r="C6" s="115" t="s">
        <v>30</v>
      </c>
      <c r="D6" s="115" t="s">
        <v>31</v>
      </c>
      <c r="E6" s="115" t="s">
        <v>32</v>
      </c>
      <c r="F6" s="115" t="s">
        <v>184</v>
      </c>
      <c r="G6" s="115" t="s">
        <v>201</v>
      </c>
      <c r="H6" s="133" t="s">
        <v>202</v>
      </c>
      <c r="I6" s="115" t="s">
        <v>129</v>
      </c>
      <c r="J6" s="115" t="s">
        <v>131</v>
      </c>
      <c r="K6" s="115" t="s">
        <v>133</v>
      </c>
      <c r="L6" s="115" t="s">
        <v>205</v>
      </c>
      <c r="M6" s="115" t="s">
        <v>206</v>
      </c>
      <c r="N6" s="115" t="s">
        <v>134</v>
      </c>
      <c r="O6" s="115" t="s">
        <v>135</v>
      </c>
      <c r="P6" s="115" t="s">
        <v>137</v>
      </c>
      <c r="Q6" s="115" t="s">
        <v>161</v>
      </c>
      <c r="R6" s="116" t="s">
        <v>196</v>
      </c>
      <c r="S6" s="134" t="s">
        <v>195</v>
      </c>
      <c r="T6" s="116" t="s">
        <v>181</v>
      </c>
      <c r="U6" s="115" t="s">
        <v>194</v>
      </c>
      <c r="V6" s="117" t="s">
        <v>141</v>
      </c>
      <c r="W6" s="116" t="s">
        <v>159</v>
      </c>
      <c r="X6" s="118" t="s">
        <v>176</v>
      </c>
      <c r="Y6" s="134" t="s">
        <v>162</v>
      </c>
      <c r="Z6" s="95" t="s">
        <v>164</v>
      </c>
      <c r="AA6" s="115" t="s">
        <v>160</v>
      </c>
      <c r="AB6" s="116" t="s">
        <v>146</v>
      </c>
      <c r="AC6" s="116" t="s">
        <v>149</v>
      </c>
      <c r="AD6" s="95" t="s">
        <v>152</v>
      </c>
      <c r="AE6" s="95" t="s">
        <v>153</v>
      </c>
      <c r="AF6" s="95" t="s">
        <v>154</v>
      </c>
      <c r="AG6" s="95" t="s">
        <v>155</v>
      </c>
      <c r="AH6" s="95" t="s">
        <v>156</v>
      </c>
      <c r="AI6" s="95" t="s">
        <v>180</v>
      </c>
      <c r="AJ6" s="95" t="s">
        <v>157</v>
      </c>
    </row>
    <row r="7" spans="1:36" ht="31.5" x14ac:dyDescent="0.25">
      <c r="A7" s="47"/>
      <c r="B7" s="39"/>
      <c r="C7" s="39"/>
      <c r="D7" s="72" t="s">
        <v>82</v>
      </c>
      <c r="E7" s="72" t="s">
        <v>33</v>
      </c>
      <c r="F7" s="71"/>
      <c r="G7" s="39"/>
      <c r="H7" s="39"/>
      <c r="I7" s="71"/>
      <c r="J7" s="39"/>
      <c r="K7" s="71"/>
      <c r="L7" s="39"/>
      <c r="M7" s="39"/>
      <c r="N7" s="39"/>
      <c r="O7" s="39"/>
      <c r="P7" s="71"/>
      <c r="Q7" s="73"/>
      <c r="R7" s="39"/>
      <c r="S7" s="39"/>
      <c r="T7" s="39"/>
      <c r="U7" s="39"/>
      <c r="V7" s="39"/>
      <c r="W7" s="39"/>
      <c r="X7" s="39"/>
      <c r="Y7" s="39"/>
      <c r="Z7" s="71"/>
      <c r="AA7" s="73"/>
      <c r="AB7" s="39"/>
      <c r="AC7" s="39"/>
      <c r="AD7" s="39"/>
      <c r="AE7" s="39"/>
      <c r="AF7" s="39"/>
      <c r="AG7" s="39"/>
      <c r="AH7" s="39"/>
      <c r="AI7" s="39"/>
      <c r="AJ7" s="39"/>
    </row>
    <row r="8" spans="1:36" x14ac:dyDescent="0.25">
      <c r="A8" s="49" t="s">
        <v>15</v>
      </c>
      <c r="D8" s="77"/>
      <c r="E8" s="78"/>
      <c r="G8" s="45"/>
      <c r="H8" s="120" t="b">
        <f>(IF(G8="Yes","",IF(G8="No","N/A")))</f>
        <v>0</v>
      </c>
      <c r="I8" s="45"/>
      <c r="J8" s="46"/>
      <c r="L8" s="45"/>
      <c r="M8" s="45"/>
      <c r="N8" s="45"/>
      <c r="O8" s="46" t="b">
        <f t="shared" ref="O8:O17" si="0">(IF(N8="Yes","",IF(N8="No","N/A")))</f>
        <v>0</v>
      </c>
      <c r="P8" s="121" t="b">
        <f t="shared" ref="P8:P17" si="1">(IF(N8="Yes","",IF(N8="No","N/A")))</f>
        <v>0</v>
      </c>
      <c r="Q8" s="120" t="b">
        <f t="shared" ref="Q8:Q17" si="2">(IF(N8="Yes","",IF(N8="No","N/A")))</f>
        <v>0</v>
      </c>
      <c r="R8" s="75"/>
      <c r="S8" s="131" t="b">
        <f>(IF(R8="Yes","",IF(R8="No","N/A",IF(R8="N/A – not high or intermediate risk; no guidance","N/A"))))</f>
        <v>0</v>
      </c>
      <c r="U8" s="121" t="b">
        <f>(IF(T8="Yes","",IF(T8="No","N/A")))</f>
        <v>0</v>
      </c>
      <c r="Y8" s="121" t="b">
        <f>(IF(X8="Yes","N/A",IF(X8="No","",IF(X8="N/A – patient died before getting to this stage; DNACPR in place","N/A"))))</f>
        <v>0</v>
      </c>
      <c r="AA8" s="121" t="b">
        <f>(IF(Z8="Yes","",IF(Z8="No","N/A",IF(Z8="N/A - already had an IVC filter","N/A"))))</f>
        <v>0</v>
      </c>
      <c r="AB8" s="75"/>
    </row>
    <row r="9" spans="1:36" x14ac:dyDescent="0.25">
      <c r="A9" s="49" t="s">
        <v>16</v>
      </c>
      <c r="D9" s="77"/>
      <c r="E9" s="78"/>
      <c r="H9" s="120" t="b">
        <f t="shared" ref="H9:H17" si="3">(IF(G9="Yes","",IF(G9="No","N/A")))</f>
        <v>0</v>
      </c>
      <c r="I9" s="45"/>
      <c r="J9" s="45"/>
      <c r="K9" s="46"/>
      <c r="N9" s="45"/>
      <c r="O9" s="46" t="b">
        <f t="shared" si="0"/>
        <v>0</v>
      </c>
      <c r="P9" s="121" t="b">
        <f t="shared" si="1"/>
        <v>0</v>
      </c>
      <c r="Q9" s="120" t="b">
        <f t="shared" si="2"/>
        <v>0</v>
      </c>
      <c r="R9" s="75"/>
      <c r="S9" s="131" t="b">
        <f t="shared" ref="S9:S17" si="4">(IF(R9="Yes","",IF(R9="No","N/A",IF(R9="N/A – not high or intermediate risk; no guidance","N/A"))))</f>
        <v>0</v>
      </c>
      <c r="U9" s="121" t="b">
        <f t="shared" ref="U9:U17" si="5">(IF(T9="Yes","",IF(T9="No","N/A")))</f>
        <v>0</v>
      </c>
      <c r="Y9" s="121" t="b">
        <f t="shared" ref="Y9:Y17" si="6">(IF(X9="Yes","N/A",IF(X9="No","",IF(X9="N/A – patient died before getting to this stage; DNACPR in place","N/A"))))</f>
        <v>0</v>
      </c>
      <c r="Z9" s="46"/>
      <c r="AA9" s="121" t="b">
        <f t="shared" ref="AA9:AA17" si="7">(IF(Z9="Yes","",IF(Z9="No","N/A",IF(Z9="N/A - already had an IVC filter","N/A"))))</f>
        <v>0</v>
      </c>
      <c r="AB9" s="75"/>
      <c r="AC9" s="75"/>
      <c r="AD9" s="75"/>
      <c r="AE9" s="75"/>
      <c r="AF9" s="75"/>
      <c r="AG9" s="75"/>
      <c r="AH9" s="75"/>
      <c r="AI9" s="75"/>
      <c r="AJ9" s="75"/>
    </row>
    <row r="10" spans="1:36" x14ac:dyDescent="0.25">
      <c r="A10" s="49" t="s">
        <v>17</v>
      </c>
      <c r="D10" s="77"/>
      <c r="E10" s="78"/>
      <c r="H10" s="120" t="b">
        <f t="shared" si="3"/>
        <v>0</v>
      </c>
      <c r="I10" s="45"/>
      <c r="J10" s="45"/>
      <c r="K10" s="46"/>
      <c r="N10" s="45"/>
      <c r="O10" s="46" t="b">
        <f t="shared" si="0"/>
        <v>0</v>
      </c>
      <c r="P10" s="121" t="b">
        <f t="shared" si="1"/>
        <v>0</v>
      </c>
      <c r="Q10" s="120" t="b">
        <f t="shared" si="2"/>
        <v>0</v>
      </c>
      <c r="R10" s="75"/>
      <c r="S10" s="131" t="b">
        <f t="shared" si="4"/>
        <v>0</v>
      </c>
      <c r="U10" s="121" t="b">
        <f t="shared" si="5"/>
        <v>0</v>
      </c>
      <c r="Y10" s="121" t="b">
        <f t="shared" si="6"/>
        <v>0</v>
      </c>
      <c r="Z10" s="46"/>
      <c r="AA10" s="121" t="b">
        <f t="shared" si="7"/>
        <v>0</v>
      </c>
      <c r="AB10" s="75"/>
      <c r="AC10" s="75"/>
      <c r="AD10" s="75"/>
      <c r="AE10" s="75"/>
      <c r="AF10" s="75"/>
      <c r="AG10" s="75"/>
      <c r="AH10" s="75"/>
      <c r="AI10" s="75"/>
      <c r="AJ10" s="75"/>
    </row>
    <row r="11" spans="1:36" x14ac:dyDescent="0.25">
      <c r="A11" s="49" t="s">
        <v>18</v>
      </c>
      <c r="D11" s="77"/>
      <c r="E11" s="78"/>
      <c r="H11" s="120" t="b">
        <f t="shared" si="3"/>
        <v>0</v>
      </c>
      <c r="I11" s="45"/>
      <c r="J11" s="45"/>
      <c r="K11" s="46"/>
      <c r="N11" s="45"/>
      <c r="O11" s="46" t="b">
        <f t="shared" si="0"/>
        <v>0</v>
      </c>
      <c r="P11" s="121" t="b">
        <f t="shared" si="1"/>
        <v>0</v>
      </c>
      <c r="Q11" s="120" t="b">
        <f t="shared" si="2"/>
        <v>0</v>
      </c>
      <c r="R11" s="75"/>
      <c r="S11" s="131" t="b">
        <f t="shared" si="4"/>
        <v>0</v>
      </c>
      <c r="U11" s="121" t="b">
        <f t="shared" si="5"/>
        <v>0</v>
      </c>
      <c r="Y11" s="121" t="b">
        <f t="shared" si="6"/>
        <v>0</v>
      </c>
      <c r="Z11" s="46"/>
      <c r="AA11" s="121" t="b">
        <f t="shared" si="7"/>
        <v>0</v>
      </c>
      <c r="AB11" s="75"/>
      <c r="AC11" s="75"/>
      <c r="AD11" s="75"/>
      <c r="AE11" s="75"/>
      <c r="AF11" s="75"/>
      <c r="AG11" s="75"/>
      <c r="AH11" s="75"/>
      <c r="AI11" s="75"/>
      <c r="AJ11" s="75"/>
    </row>
    <row r="12" spans="1:36" x14ac:dyDescent="0.25">
      <c r="A12" s="49" t="s">
        <v>19</v>
      </c>
      <c r="D12" s="77"/>
      <c r="E12" s="78"/>
      <c r="H12" s="120" t="b">
        <f t="shared" si="3"/>
        <v>0</v>
      </c>
      <c r="I12" s="45"/>
      <c r="J12" s="45"/>
      <c r="K12" s="46"/>
      <c r="N12" s="45"/>
      <c r="O12" s="46" t="b">
        <f t="shared" si="0"/>
        <v>0</v>
      </c>
      <c r="P12" s="121" t="b">
        <f t="shared" si="1"/>
        <v>0</v>
      </c>
      <c r="Q12" s="120" t="b">
        <f t="shared" si="2"/>
        <v>0</v>
      </c>
      <c r="R12" s="75"/>
      <c r="S12" s="131" t="b">
        <f t="shared" si="4"/>
        <v>0</v>
      </c>
      <c r="U12" s="121" t="b">
        <f t="shared" si="5"/>
        <v>0</v>
      </c>
      <c r="Y12" s="121" t="b">
        <f t="shared" si="6"/>
        <v>0</v>
      </c>
      <c r="Z12" s="46"/>
      <c r="AA12" s="121" t="b">
        <f t="shared" si="7"/>
        <v>0</v>
      </c>
      <c r="AB12" s="75"/>
      <c r="AC12" s="75"/>
      <c r="AD12" s="75"/>
      <c r="AE12" s="75"/>
      <c r="AF12" s="75"/>
      <c r="AG12" s="75"/>
      <c r="AH12" s="75"/>
      <c r="AI12" s="75"/>
      <c r="AJ12" s="75"/>
    </row>
    <row r="13" spans="1:36" x14ac:dyDescent="0.25">
      <c r="A13" s="49" t="s">
        <v>20</v>
      </c>
      <c r="D13" s="77"/>
      <c r="E13" s="78"/>
      <c r="H13" s="120" t="b">
        <f t="shared" si="3"/>
        <v>0</v>
      </c>
      <c r="I13" s="45"/>
      <c r="J13" s="45"/>
      <c r="K13" s="46"/>
      <c r="N13" s="45"/>
      <c r="O13" s="46" t="b">
        <f t="shared" si="0"/>
        <v>0</v>
      </c>
      <c r="P13" s="121" t="b">
        <f t="shared" si="1"/>
        <v>0</v>
      </c>
      <c r="Q13" s="120" t="b">
        <f t="shared" si="2"/>
        <v>0</v>
      </c>
      <c r="R13" s="75"/>
      <c r="S13" s="131" t="b">
        <f t="shared" si="4"/>
        <v>0</v>
      </c>
      <c r="U13" s="121" t="b">
        <f t="shared" si="5"/>
        <v>0</v>
      </c>
      <c r="Y13" s="121" t="b">
        <f t="shared" si="6"/>
        <v>0</v>
      </c>
      <c r="Z13" s="46"/>
      <c r="AA13" s="121" t="b">
        <f t="shared" si="7"/>
        <v>0</v>
      </c>
      <c r="AB13" s="75"/>
      <c r="AC13" s="75"/>
      <c r="AD13" s="75"/>
      <c r="AE13" s="75"/>
      <c r="AF13" s="75"/>
      <c r="AG13" s="75"/>
      <c r="AH13" s="75"/>
      <c r="AI13" s="75"/>
      <c r="AJ13" s="75"/>
    </row>
    <row r="14" spans="1:36" x14ac:dyDescent="0.25">
      <c r="A14" s="49" t="s">
        <v>21</v>
      </c>
      <c r="D14" s="77"/>
      <c r="E14" s="78"/>
      <c r="H14" s="120" t="b">
        <f t="shared" si="3"/>
        <v>0</v>
      </c>
      <c r="I14" s="45"/>
      <c r="J14" s="45"/>
      <c r="K14" s="46"/>
      <c r="N14" s="45"/>
      <c r="O14" s="46" t="b">
        <f t="shared" si="0"/>
        <v>0</v>
      </c>
      <c r="P14" s="121" t="b">
        <f t="shared" si="1"/>
        <v>0</v>
      </c>
      <c r="Q14" s="120" t="b">
        <f t="shared" si="2"/>
        <v>0</v>
      </c>
      <c r="R14" s="75"/>
      <c r="S14" s="131" t="b">
        <f t="shared" si="4"/>
        <v>0</v>
      </c>
      <c r="U14" s="121" t="b">
        <f t="shared" si="5"/>
        <v>0</v>
      </c>
      <c r="Y14" s="121" t="b">
        <f t="shared" si="6"/>
        <v>0</v>
      </c>
      <c r="Z14" s="46"/>
      <c r="AA14" s="121" t="b">
        <f t="shared" si="7"/>
        <v>0</v>
      </c>
      <c r="AB14" s="75"/>
      <c r="AC14" s="75"/>
      <c r="AD14" s="75"/>
      <c r="AE14" s="75"/>
      <c r="AF14" s="75"/>
      <c r="AG14" s="75"/>
      <c r="AH14" s="75"/>
      <c r="AI14" s="75"/>
      <c r="AJ14" s="75"/>
    </row>
    <row r="15" spans="1:36" x14ac:dyDescent="0.25">
      <c r="A15" s="49" t="s">
        <v>22</v>
      </c>
      <c r="D15" s="77"/>
      <c r="E15" s="78"/>
      <c r="H15" s="120" t="b">
        <f t="shared" si="3"/>
        <v>0</v>
      </c>
      <c r="I15" s="45"/>
      <c r="J15" s="45"/>
      <c r="K15" s="46"/>
      <c r="N15" s="45"/>
      <c r="O15" s="46" t="b">
        <f t="shared" si="0"/>
        <v>0</v>
      </c>
      <c r="P15" s="121" t="b">
        <f t="shared" si="1"/>
        <v>0</v>
      </c>
      <c r="Q15" s="120" t="b">
        <f t="shared" si="2"/>
        <v>0</v>
      </c>
      <c r="R15" s="75"/>
      <c r="S15" s="131" t="b">
        <f t="shared" si="4"/>
        <v>0</v>
      </c>
      <c r="U15" s="121" t="b">
        <f t="shared" si="5"/>
        <v>0</v>
      </c>
      <c r="Y15" s="121" t="b">
        <f t="shared" si="6"/>
        <v>0</v>
      </c>
      <c r="Z15" s="46"/>
      <c r="AA15" s="121" t="b">
        <f t="shared" si="7"/>
        <v>0</v>
      </c>
      <c r="AB15" s="75"/>
      <c r="AC15" s="75"/>
      <c r="AD15" s="75"/>
      <c r="AE15" s="75"/>
      <c r="AF15" s="75"/>
      <c r="AG15" s="75"/>
      <c r="AH15" s="75"/>
      <c r="AI15" s="75"/>
      <c r="AJ15" s="75"/>
    </row>
    <row r="16" spans="1:36" x14ac:dyDescent="0.25">
      <c r="A16" s="49" t="s">
        <v>23</v>
      </c>
      <c r="D16" s="77"/>
      <c r="E16" s="78"/>
      <c r="H16" s="120" t="b">
        <f t="shared" si="3"/>
        <v>0</v>
      </c>
      <c r="I16" s="45"/>
      <c r="J16" s="45"/>
      <c r="K16" s="46"/>
      <c r="N16" s="45"/>
      <c r="O16" s="46" t="b">
        <f t="shared" si="0"/>
        <v>0</v>
      </c>
      <c r="P16" s="121" t="b">
        <f t="shared" si="1"/>
        <v>0</v>
      </c>
      <c r="Q16" s="120" t="b">
        <f t="shared" si="2"/>
        <v>0</v>
      </c>
      <c r="R16" s="75"/>
      <c r="S16" s="131" t="b">
        <f t="shared" si="4"/>
        <v>0</v>
      </c>
      <c r="U16" s="121" t="b">
        <f t="shared" si="5"/>
        <v>0</v>
      </c>
      <c r="Y16" s="121" t="b">
        <f t="shared" si="6"/>
        <v>0</v>
      </c>
      <c r="Z16" s="46"/>
      <c r="AA16" s="121" t="b">
        <f t="shared" si="7"/>
        <v>0</v>
      </c>
      <c r="AB16" s="75"/>
      <c r="AC16" s="75"/>
      <c r="AD16" s="75"/>
      <c r="AE16" s="75"/>
      <c r="AF16" s="75"/>
      <c r="AG16" s="75"/>
      <c r="AH16" s="75"/>
      <c r="AI16" s="75"/>
      <c r="AJ16" s="75"/>
    </row>
    <row r="17" spans="1:36" ht="94.5" x14ac:dyDescent="0.25">
      <c r="A17" s="30" t="s">
        <v>60</v>
      </c>
      <c r="D17" s="77"/>
      <c r="E17" s="78"/>
      <c r="H17" s="120" t="b">
        <f t="shared" si="3"/>
        <v>0</v>
      </c>
      <c r="I17" s="45"/>
      <c r="J17" s="45"/>
      <c r="K17" s="46"/>
      <c r="N17" s="45"/>
      <c r="O17" s="46" t="b">
        <f t="shared" si="0"/>
        <v>0</v>
      </c>
      <c r="P17" s="121" t="b">
        <f t="shared" si="1"/>
        <v>0</v>
      </c>
      <c r="Q17" s="120" t="b">
        <f t="shared" si="2"/>
        <v>0</v>
      </c>
      <c r="R17" s="75"/>
      <c r="S17" s="131" t="b">
        <f t="shared" si="4"/>
        <v>0</v>
      </c>
      <c r="U17" s="121" t="b">
        <f t="shared" si="5"/>
        <v>0</v>
      </c>
      <c r="Y17" s="121" t="b">
        <f t="shared" si="6"/>
        <v>0</v>
      </c>
      <c r="Z17" s="46"/>
      <c r="AA17" s="121" t="b">
        <f t="shared" si="7"/>
        <v>0</v>
      </c>
      <c r="AB17" s="75"/>
      <c r="AC17" s="75"/>
      <c r="AD17" s="75"/>
      <c r="AE17" s="75"/>
      <c r="AF17" s="75"/>
      <c r="AG17" s="75"/>
      <c r="AH17" s="75"/>
      <c r="AI17" s="75"/>
      <c r="AJ17" s="75"/>
    </row>
    <row r="18" spans="1:36" s="33" customFormat="1" x14ac:dyDescent="0.25">
      <c r="A18" s="59"/>
      <c r="Q18" s="70"/>
      <c r="V18" s="80"/>
      <c r="X18" s="80"/>
      <c r="AA18" s="70"/>
    </row>
    <row r="19" spans="1:36" s="87" customFormat="1" x14ac:dyDescent="0.25">
      <c r="A19" s="60" t="s">
        <v>24</v>
      </c>
      <c r="B19" s="85"/>
      <c r="C19" s="85"/>
      <c r="D19" s="86"/>
      <c r="E19" s="86"/>
      <c r="F19" s="122">
        <f t="shared" ref="F19:T19" si="8">COUNTIF(F8:F17,"Yes")</f>
        <v>0</v>
      </c>
      <c r="G19" s="123">
        <f t="shared" si="8"/>
        <v>0</v>
      </c>
      <c r="H19" s="123">
        <f t="shared" ref="H19" si="9">COUNTIF(H8:H17,"Yes")</f>
        <v>0</v>
      </c>
      <c r="I19" s="122">
        <f t="shared" si="8"/>
        <v>0</v>
      </c>
      <c r="J19" s="122">
        <f t="shared" si="8"/>
        <v>0</v>
      </c>
      <c r="K19" s="122">
        <f t="shared" si="8"/>
        <v>0</v>
      </c>
      <c r="L19" s="122">
        <f t="shared" si="8"/>
        <v>0</v>
      </c>
      <c r="M19" s="122">
        <f t="shared" ref="M19" si="10">COUNTIF(M8:M17,"Yes")</f>
        <v>0</v>
      </c>
      <c r="N19" s="122">
        <f t="shared" si="8"/>
        <v>0</v>
      </c>
      <c r="O19" s="122">
        <f t="shared" si="8"/>
        <v>0</v>
      </c>
      <c r="P19" s="122">
        <f t="shared" si="8"/>
        <v>0</v>
      </c>
      <c r="Q19" s="124">
        <f>COUNTIF(Q8:Q17,"Yes")</f>
        <v>0</v>
      </c>
      <c r="R19" s="122">
        <f t="shared" si="8"/>
        <v>0</v>
      </c>
      <c r="S19" s="122">
        <f t="shared" si="8"/>
        <v>0</v>
      </c>
      <c r="T19" s="122">
        <f t="shared" si="8"/>
        <v>0</v>
      </c>
      <c r="U19" s="122">
        <f t="shared" ref="U19:W19" si="11">COUNTIF(U8:U17,"Yes")</f>
        <v>0</v>
      </c>
      <c r="V19" s="123">
        <f t="shared" si="11"/>
        <v>0</v>
      </c>
      <c r="W19" s="122">
        <f t="shared" si="11"/>
        <v>0</v>
      </c>
      <c r="X19" s="123">
        <f t="shared" ref="X19:AC19" si="12">COUNTIF(X8:X17,"Yes")</f>
        <v>0</v>
      </c>
      <c r="Y19" s="122">
        <f t="shared" si="12"/>
        <v>0</v>
      </c>
      <c r="Z19" s="122">
        <f t="shared" si="12"/>
        <v>0</v>
      </c>
      <c r="AA19" s="124">
        <f t="shared" si="12"/>
        <v>0</v>
      </c>
      <c r="AB19" s="122">
        <f t="shared" si="12"/>
        <v>0</v>
      </c>
      <c r="AC19" s="122">
        <f t="shared" si="12"/>
        <v>0</v>
      </c>
      <c r="AD19" s="122">
        <f t="shared" ref="AD19:AJ19" si="13">COUNTIF(AD8:AD17,"Yes")</f>
        <v>0</v>
      </c>
      <c r="AE19" s="122">
        <f t="shared" si="13"/>
        <v>0</v>
      </c>
      <c r="AF19" s="122">
        <f t="shared" si="13"/>
        <v>0</v>
      </c>
      <c r="AG19" s="122">
        <f t="shared" si="13"/>
        <v>0</v>
      </c>
      <c r="AH19" s="122">
        <f t="shared" si="13"/>
        <v>0</v>
      </c>
      <c r="AI19" s="122">
        <f t="shared" si="13"/>
        <v>0</v>
      </c>
      <c r="AJ19" s="122">
        <f t="shared" si="13"/>
        <v>0</v>
      </c>
    </row>
    <row r="20" spans="1:36" s="35" customFormat="1" x14ac:dyDescent="0.25">
      <c r="A20" s="63" t="s">
        <v>25</v>
      </c>
      <c r="B20" s="61"/>
      <c r="C20" s="61"/>
      <c r="D20" s="64"/>
      <c r="E20" s="64"/>
      <c r="F20" s="125" t="str">
        <f>IF(ISERROR(F19/F23),"%",F19/F23*100)</f>
        <v>%</v>
      </c>
      <c r="G20" s="126" t="str">
        <f>IF(ISERROR(G19/G23),"%",G19/G23*100)</f>
        <v>%</v>
      </c>
      <c r="H20" s="126" t="str">
        <f>IF(ISERROR(H19/H23),"%",H19/H23*100)</f>
        <v>%</v>
      </c>
      <c r="I20" s="125" t="str">
        <f t="shared" ref="I20:N20" si="14">IF(ISERROR(I19/I23),"%",I19/I23*100)</f>
        <v>%</v>
      </c>
      <c r="J20" s="125" t="str">
        <f t="shared" si="14"/>
        <v>%</v>
      </c>
      <c r="K20" s="125" t="str">
        <f t="shared" si="14"/>
        <v>%</v>
      </c>
      <c r="L20" s="125" t="str">
        <f t="shared" ref="L20:M20" si="15">IF(ISERROR(L19/L23),"%",L19/L23*100)</f>
        <v>%</v>
      </c>
      <c r="M20" s="125" t="str">
        <f t="shared" si="15"/>
        <v>%</v>
      </c>
      <c r="N20" s="125" t="str">
        <f t="shared" si="14"/>
        <v>%</v>
      </c>
      <c r="O20" s="125" t="str">
        <f t="shared" ref="O20:P20" si="16">IF(ISERROR(O19/O23),"%",O19/O23*100)</f>
        <v>%</v>
      </c>
      <c r="P20" s="125" t="str">
        <f t="shared" si="16"/>
        <v>%</v>
      </c>
      <c r="Q20" s="127" t="str">
        <f t="shared" ref="Q20:T20" si="17">IF(ISERROR(Q19/Q23),"%",Q19/Q23*100)</f>
        <v>%</v>
      </c>
      <c r="R20" s="125" t="str">
        <f t="shared" ref="R20:S20" si="18">IF(ISERROR(R19/R23),"%",R19/R23*100)</f>
        <v>%</v>
      </c>
      <c r="S20" s="125" t="str">
        <f t="shared" si="18"/>
        <v>%</v>
      </c>
      <c r="T20" s="125" t="str">
        <f t="shared" si="17"/>
        <v>%</v>
      </c>
      <c r="U20" s="125" t="str">
        <f t="shared" ref="U20:W20" si="19">IF(ISERROR(U19/U23),"%",U19/U23*100)</f>
        <v>%</v>
      </c>
      <c r="V20" s="126" t="str">
        <f t="shared" si="19"/>
        <v>%</v>
      </c>
      <c r="W20" s="125" t="str">
        <f t="shared" si="19"/>
        <v>%</v>
      </c>
      <c r="X20" s="126" t="str">
        <f t="shared" ref="X20:AC20" si="20">IF(ISERROR(X19/X23),"%",X19/X23*100)</f>
        <v>%</v>
      </c>
      <c r="Y20" s="125" t="str">
        <f t="shared" si="20"/>
        <v>%</v>
      </c>
      <c r="Z20" s="125" t="str">
        <f t="shared" si="20"/>
        <v>%</v>
      </c>
      <c r="AA20" s="127" t="str">
        <f t="shared" si="20"/>
        <v>%</v>
      </c>
      <c r="AB20" s="125" t="str">
        <f t="shared" si="20"/>
        <v>%</v>
      </c>
      <c r="AC20" s="125" t="str">
        <f t="shared" si="20"/>
        <v>%</v>
      </c>
      <c r="AD20" s="125" t="str">
        <f t="shared" ref="AD20:AJ20" si="21">IF(ISERROR(AD19/AD23),"%",AD19/AD23*100)</f>
        <v>%</v>
      </c>
      <c r="AE20" s="125" t="str">
        <f t="shared" si="21"/>
        <v>%</v>
      </c>
      <c r="AF20" s="125" t="str">
        <f t="shared" si="21"/>
        <v>%</v>
      </c>
      <c r="AG20" s="125" t="str">
        <f t="shared" si="21"/>
        <v>%</v>
      </c>
      <c r="AH20" s="125" t="str">
        <f t="shared" si="21"/>
        <v>%</v>
      </c>
      <c r="AI20" s="125" t="str">
        <f t="shared" si="21"/>
        <v>%</v>
      </c>
      <c r="AJ20" s="125" t="str">
        <f t="shared" si="21"/>
        <v>%</v>
      </c>
    </row>
    <row r="21" spans="1:36" s="87" customFormat="1" x14ac:dyDescent="0.25">
      <c r="A21" s="60" t="s">
        <v>26</v>
      </c>
      <c r="B21" s="85"/>
      <c r="C21" s="85"/>
      <c r="D21" s="86"/>
      <c r="E21" s="86"/>
      <c r="F21" s="122">
        <f t="shared" ref="F21:T21" si="22">COUNTIF(F8:F17,"No")</f>
        <v>0</v>
      </c>
      <c r="G21" s="123">
        <f t="shared" si="22"/>
        <v>0</v>
      </c>
      <c r="H21" s="123">
        <f t="shared" ref="H21" si="23">COUNTIF(H8:H17,"No")</f>
        <v>0</v>
      </c>
      <c r="I21" s="122">
        <f t="shared" si="22"/>
        <v>0</v>
      </c>
      <c r="J21" s="122">
        <f t="shared" si="22"/>
        <v>0</v>
      </c>
      <c r="K21" s="122">
        <f t="shared" si="22"/>
        <v>0</v>
      </c>
      <c r="L21" s="122">
        <f t="shared" si="22"/>
        <v>0</v>
      </c>
      <c r="M21" s="122">
        <f t="shared" ref="M21" si="24">COUNTIF(M8:M17,"No")</f>
        <v>0</v>
      </c>
      <c r="N21" s="122">
        <f t="shared" si="22"/>
        <v>0</v>
      </c>
      <c r="O21" s="122">
        <f t="shared" si="22"/>
        <v>0</v>
      </c>
      <c r="P21" s="122">
        <f t="shared" si="22"/>
        <v>0</v>
      </c>
      <c r="Q21" s="124">
        <f>COUNTIF(Q8:Q17,"No")</f>
        <v>0</v>
      </c>
      <c r="R21" s="122">
        <f t="shared" si="22"/>
        <v>0</v>
      </c>
      <c r="S21" s="122">
        <f t="shared" si="22"/>
        <v>0</v>
      </c>
      <c r="T21" s="122">
        <f t="shared" si="22"/>
        <v>0</v>
      </c>
      <c r="U21" s="122">
        <f t="shared" ref="U21:W21" si="25">COUNTIF(U8:U17,"No")</f>
        <v>0</v>
      </c>
      <c r="V21" s="123">
        <f t="shared" si="25"/>
        <v>0</v>
      </c>
      <c r="W21" s="122">
        <f t="shared" si="25"/>
        <v>0</v>
      </c>
      <c r="X21" s="123">
        <f t="shared" ref="X21:AC21" si="26">COUNTIF(X8:X17,"No")</f>
        <v>0</v>
      </c>
      <c r="Y21" s="122">
        <f t="shared" si="26"/>
        <v>0</v>
      </c>
      <c r="Z21" s="122">
        <f t="shared" si="26"/>
        <v>0</v>
      </c>
      <c r="AA21" s="124">
        <f t="shared" si="26"/>
        <v>0</v>
      </c>
      <c r="AB21" s="122">
        <f t="shared" si="26"/>
        <v>0</v>
      </c>
      <c r="AC21" s="122">
        <f t="shared" si="26"/>
        <v>0</v>
      </c>
      <c r="AD21" s="122">
        <f t="shared" ref="AD21:AJ21" si="27">COUNTIF(AD8:AD17,"No")</f>
        <v>0</v>
      </c>
      <c r="AE21" s="122">
        <f t="shared" si="27"/>
        <v>0</v>
      </c>
      <c r="AF21" s="122">
        <f t="shared" si="27"/>
        <v>0</v>
      </c>
      <c r="AG21" s="122">
        <f t="shared" si="27"/>
        <v>0</v>
      </c>
      <c r="AH21" s="122">
        <f t="shared" si="27"/>
        <v>0</v>
      </c>
      <c r="AI21" s="122">
        <f t="shared" si="27"/>
        <v>0</v>
      </c>
      <c r="AJ21" s="122">
        <f t="shared" si="27"/>
        <v>0</v>
      </c>
    </row>
    <row r="22" spans="1:36" s="35" customFormat="1" x14ac:dyDescent="0.25">
      <c r="A22" s="63" t="s">
        <v>27</v>
      </c>
      <c r="B22" s="61"/>
      <c r="C22" s="61"/>
      <c r="D22" s="64"/>
      <c r="E22" s="64"/>
      <c r="F22" s="125" t="str">
        <f>IF(ISERROR(F21/F23),"%",F21/F23*100)</f>
        <v>%</v>
      </c>
      <c r="G22" s="126" t="str">
        <f>IF(ISERROR(G21/G23),"%",G21/G23*100)</f>
        <v>%</v>
      </c>
      <c r="H22" s="126" t="str">
        <f>IF(ISERROR(H21/H23),"%",H21/H23*100)</f>
        <v>%</v>
      </c>
      <c r="I22" s="125" t="str">
        <f t="shared" ref="I22:N22" si="28">IF(ISERROR(I21/I23),"%",I21/I23*100)</f>
        <v>%</v>
      </c>
      <c r="J22" s="125" t="str">
        <f t="shared" si="28"/>
        <v>%</v>
      </c>
      <c r="K22" s="125" t="str">
        <f t="shared" si="28"/>
        <v>%</v>
      </c>
      <c r="L22" s="125" t="str">
        <f t="shared" ref="L22:M22" si="29">IF(ISERROR(L21/L23),"%",L21/L23*100)</f>
        <v>%</v>
      </c>
      <c r="M22" s="125" t="str">
        <f t="shared" si="29"/>
        <v>%</v>
      </c>
      <c r="N22" s="125" t="str">
        <f t="shared" si="28"/>
        <v>%</v>
      </c>
      <c r="O22" s="125" t="str">
        <f t="shared" ref="O22:P22" si="30">IF(ISERROR(O21/O23),"%",O21/O23*100)</f>
        <v>%</v>
      </c>
      <c r="P22" s="125" t="str">
        <f t="shared" si="30"/>
        <v>%</v>
      </c>
      <c r="Q22" s="127" t="str">
        <f t="shared" ref="Q22:T22" si="31">IF(ISERROR(Q21/Q23),"%",Q21/Q23*100)</f>
        <v>%</v>
      </c>
      <c r="R22" s="125" t="str">
        <f t="shared" ref="R22:S22" si="32">IF(ISERROR(R21/R23),"%",R21/R23*100)</f>
        <v>%</v>
      </c>
      <c r="S22" s="125" t="str">
        <f t="shared" si="32"/>
        <v>%</v>
      </c>
      <c r="T22" s="125" t="str">
        <f t="shared" si="31"/>
        <v>%</v>
      </c>
      <c r="U22" s="125" t="str">
        <f t="shared" ref="U22:W22" si="33">IF(ISERROR(U21/U23),"%",U21/U23*100)</f>
        <v>%</v>
      </c>
      <c r="V22" s="126" t="str">
        <f t="shared" si="33"/>
        <v>%</v>
      </c>
      <c r="W22" s="125" t="str">
        <f t="shared" si="33"/>
        <v>%</v>
      </c>
      <c r="X22" s="126" t="str">
        <f t="shared" ref="X22:AC22" si="34">IF(ISERROR(X21/X23),"%",X21/X23*100)</f>
        <v>%</v>
      </c>
      <c r="Y22" s="125" t="str">
        <f t="shared" si="34"/>
        <v>%</v>
      </c>
      <c r="Z22" s="125" t="str">
        <f t="shared" si="34"/>
        <v>%</v>
      </c>
      <c r="AA22" s="127" t="str">
        <f t="shared" si="34"/>
        <v>%</v>
      </c>
      <c r="AB22" s="125" t="str">
        <f t="shared" si="34"/>
        <v>%</v>
      </c>
      <c r="AC22" s="125" t="str">
        <f t="shared" si="34"/>
        <v>%</v>
      </c>
      <c r="AD22" s="125" t="str">
        <f t="shared" ref="AD22:AJ22" si="35">IF(ISERROR(AD21/AD23),"%",AD21/AD23*100)</f>
        <v>%</v>
      </c>
      <c r="AE22" s="125" t="str">
        <f t="shared" si="35"/>
        <v>%</v>
      </c>
      <c r="AF22" s="125" t="str">
        <f t="shared" si="35"/>
        <v>%</v>
      </c>
      <c r="AG22" s="125" t="str">
        <f t="shared" si="35"/>
        <v>%</v>
      </c>
      <c r="AH22" s="125" t="str">
        <f t="shared" si="35"/>
        <v>%</v>
      </c>
      <c r="AI22" s="125" t="str">
        <f t="shared" si="35"/>
        <v>%</v>
      </c>
      <c r="AJ22" s="125" t="str">
        <f t="shared" si="35"/>
        <v>%</v>
      </c>
    </row>
    <row r="23" spans="1:36" s="87" customFormat="1" x14ac:dyDescent="0.25">
      <c r="A23" s="60" t="s">
        <v>28</v>
      </c>
      <c r="B23" s="85"/>
      <c r="C23" s="85"/>
      <c r="D23" s="86"/>
      <c r="E23" s="86"/>
      <c r="F23" s="122">
        <f>SUM(F19+F21)</f>
        <v>0</v>
      </c>
      <c r="G23" s="123">
        <f>SUM(G19+G21)</f>
        <v>0</v>
      </c>
      <c r="H23" s="123">
        <f>SUM(H19+H21)</f>
        <v>0</v>
      </c>
      <c r="I23" s="122">
        <f t="shared" ref="I23:N23" si="36">SUM(I19+I21)</f>
        <v>0</v>
      </c>
      <c r="J23" s="122">
        <f t="shared" si="36"/>
        <v>0</v>
      </c>
      <c r="K23" s="122">
        <f t="shared" si="36"/>
        <v>0</v>
      </c>
      <c r="L23" s="122">
        <f t="shared" ref="L23:M23" si="37">SUM(L19+L21)</f>
        <v>0</v>
      </c>
      <c r="M23" s="122">
        <f t="shared" si="37"/>
        <v>0</v>
      </c>
      <c r="N23" s="122">
        <f t="shared" si="36"/>
        <v>0</v>
      </c>
      <c r="O23" s="122">
        <f t="shared" ref="O23:S23" si="38">SUM(O19+O21)</f>
        <v>0</v>
      </c>
      <c r="P23" s="122">
        <f t="shared" si="38"/>
        <v>0</v>
      </c>
      <c r="Q23" s="124">
        <f t="shared" si="38"/>
        <v>0</v>
      </c>
      <c r="R23" s="122">
        <f t="shared" ref="R23" si="39">SUM(R19+R21)</f>
        <v>0</v>
      </c>
      <c r="S23" s="122">
        <f t="shared" si="38"/>
        <v>0</v>
      </c>
      <c r="T23" s="122">
        <f t="shared" ref="T23" si="40">SUM(T19+T21)</f>
        <v>0</v>
      </c>
      <c r="U23" s="122">
        <f t="shared" ref="U23:W23" si="41">SUM(U19+U21)</f>
        <v>0</v>
      </c>
      <c r="V23" s="123">
        <f t="shared" si="41"/>
        <v>0</v>
      </c>
      <c r="W23" s="122">
        <f t="shared" si="41"/>
        <v>0</v>
      </c>
      <c r="X23" s="123">
        <f t="shared" ref="X23:AC23" si="42">SUM(X19+X21)</f>
        <v>0</v>
      </c>
      <c r="Y23" s="122">
        <f t="shared" si="42"/>
        <v>0</v>
      </c>
      <c r="Z23" s="122">
        <f t="shared" si="42"/>
        <v>0</v>
      </c>
      <c r="AA23" s="124">
        <f t="shared" si="42"/>
        <v>0</v>
      </c>
      <c r="AB23" s="122">
        <f t="shared" si="42"/>
        <v>0</v>
      </c>
      <c r="AC23" s="122">
        <f t="shared" si="42"/>
        <v>0</v>
      </c>
      <c r="AD23" s="122">
        <f t="shared" ref="AD23:AJ23" si="43">SUM(AD19+AD21)</f>
        <v>0</v>
      </c>
      <c r="AE23" s="122">
        <f t="shared" si="43"/>
        <v>0</v>
      </c>
      <c r="AF23" s="122">
        <f t="shared" si="43"/>
        <v>0</v>
      </c>
      <c r="AG23" s="122">
        <f t="shared" si="43"/>
        <v>0</v>
      </c>
      <c r="AH23" s="122">
        <f t="shared" si="43"/>
        <v>0</v>
      </c>
      <c r="AI23" s="122">
        <f t="shared" si="43"/>
        <v>0</v>
      </c>
      <c r="AJ23" s="122">
        <f t="shared" si="43"/>
        <v>0</v>
      </c>
    </row>
    <row r="24" spans="1:36" s="34" customFormat="1" ht="31.5" x14ac:dyDescent="0.25">
      <c r="A24" s="63" t="s">
        <v>95</v>
      </c>
      <c r="B24" s="61"/>
      <c r="C24" s="61"/>
      <c r="D24" s="62"/>
      <c r="E24" s="62"/>
      <c r="F24" s="128">
        <f>F28</f>
        <v>10</v>
      </c>
      <c r="G24" s="129">
        <f>G28</f>
        <v>10</v>
      </c>
      <c r="H24" s="129">
        <f>H28</f>
        <v>0</v>
      </c>
      <c r="I24" s="128">
        <f t="shared" ref="I24:N24" si="44">I28</f>
        <v>10</v>
      </c>
      <c r="J24" s="128">
        <f t="shared" si="44"/>
        <v>10</v>
      </c>
      <c r="K24" s="128">
        <f t="shared" si="44"/>
        <v>10</v>
      </c>
      <c r="L24" s="128">
        <f t="shared" ref="L24:M24" si="45">L28</f>
        <v>10</v>
      </c>
      <c r="M24" s="128">
        <f t="shared" si="45"/>
        <v>10</v>
      </c>
      <c r="N24" s="128">
        <f t="shared" si="44"/>
        <v>10</v>
      </c>
      <c r="O24" s="128">
        <f t="shared" ref="O24:S24" si="46">O28</f>
        <v>0</v>
      </c>
      <c r="P24" s="128">
        <f t="shared" si="46"/>
        <v>0</v>
      </c>
      <c r="Q24" s="130">
        <f t="shared" si="46"/>
        <v>0</v>
      </c>
      <c r="R24" s="128">
        <f t="shared" ref="R24" si="47">R28</f>
        <v>10</v>
      </c>
      <c r="S24" s="128">
        <f t="shared" si="46"/>
        <v>0</v>
      </c>
      <c r="T24" s="128">
        <f t="shared" ref="T24" si="48">T28</f>
        <v>10</v>
      </c>
      <c r="U24" s="128">
        <f t="shared" ref="U24:W24" si="49">U28</f>
        <v>0</v>
      </c>
      <c r="V24" s="129">
        <f t="shared" si="49"/>
        <v>10</v>
      </c>
      <c r="W24" s="128">
        <f t="shared" si="49"/>
        <v>10</v>
      </c>
      <c r="X24" s="129">
        <f t="shared" ref="X24:AC24" si="50">X28</f>
        <v>10</v>
      </c>
      <c r="Y24" s="128">
        <f t="shared" si="50"/>
        <v>0</v>
      </c>
      <c r="Z24" s="128">
        <f t="shared" si="50"/>
        <v>10</v>
      </c>
      <c r="AA24" s="130">
        <f t="shared" si="50"/>
        <v>0</v>
      </c>
      <c r="AB24" s="128">
        <f t="shared" si="50"/>
        <v>10</v>
      </c>
      <c r="AC24" s="128">
        <f t="shared" si="50"/>
        <v>10</v>
      </c>
      <c r="AD24" s="128">
        <f t="shared" ref="AD24:AJ24" si="51">AD28</f>
        <v>10</v>
      </c>
      <c r="AE24" s="128">
        <f t="shared" si="51"/>
        <v>10</v>
      </c>
      <c r="AF24" s="128">
        <f t="shared" si="51"/>
        <v>10</v>
      </c>
      <c r="AG24" s="128">
        <f t="shared" si="51"/>
        <v>10</v>
      </c>
      <c r="AH24" s="128">
        <f t="shared" si="51"/>
        <v>10</v>
      </c>
      <c r="AI24" s="128">
        <f t="shared" si="51"/>
        <v>10</v>
      </c>
      <c r="AJ24" s="128">
        <f t="shared" si="51"/>
        <v>10</v>
      </c>
    </row>
    <row r="25" spans="1:36" s="34" customFormat="1" x14ac:dyDescent="0.25">
      <c r="A25" s="63" t="s">
        <v>36</v>
      </c>
      <c r="B25" s="61"/>
      <c r="C25" s="61"/>
      <c r="D25" s="62"/>
      <c r="E25" s="62"/>
      <c r="F25" s="128">
        <f>COUNTIF(F8:F17,"N/A - new diagnosis of PE was an incidental finding on imaging")</f>
        <v>0</v>
      </c>
      <c r="G25" s="129">
        <f>COUNTIF(G8:G17,"N/A")</f>
        <v>0</v>
      </c>
      <c r="H25" s="129">
        <f>COUNTIF(H8:H17,"N/A – contraindicated; not suspected of having an acute PE/PE incidentally diagnosed on imaging for another reason")</f>
        <v>0</v>
      </c>
      <c r="I25" s="128">
        <f>COUNTIF(I8:I17,"N/A - contraindicated; not suspected of having an acute PE")</f>
        <v>0</v>
      </c>
      <c r="J25" s="128">
        <f>COUNTIF(J8:J17,"N/A - no CT performed")</f>
        <v>0</v>
      </c>
      <c r="K25" s="128">
        <f>COUNTIF(K8:K17,"N/A - no CTPA")</f>
        <v>0</v>
      </c>
      <c r="L25" s="128">
        <f>COUNTIF(L8:L17,"N/A")</f>
        <v>0</v>
      </c>
      <c r="M25" s="128">
        <f>COUNTIF(M8:M17,"N/A")</f>
        <v>0</v>
      </c>
      <c r="N25" s="128">
        <f>COUNTIF(N8:N17,"N/A")</f>
        <v>0</v>
      </c>
      <c r="O25" s="128">
        <f>COUNTIF(O8:O17,"N/A")</f>
        <v>0</v>
      </c>
      <c r="P25" s="128">
        <f>COUNTIF(P8:P17,"N/A - not indicated (already had this on CT or normal RV on CT and low severity score)")</f>
        <v>0</v>
      </c>
      <c r="Q25" s="130">
        <f>COUNTIF(Q8:Q17,"N/A")</f>
        <v>0</v>
      </c>
      <c r="R25" s="128">
        <f>COUNTIF(R8:R17,"N/A – not high or intermediate risk; no guidance")</f>
        <v>0</v>
      </c>
      <c r="S25" s="128">
        <f>COUNTIF(S8:S17,"N/A – not high or intermediate risk")</f>
        <v>0</v>
      </c>
      <c r="T25" s="128">
        <f>COUNTIF(T8:T17,"N/A")</f>
        <v>0</v>
      </c>
      <c r="U25" s="128">
        <f>COUNTIF(U8:U17,"N/A – no amendments/updates")</f>
        <v>0</v>
      </c>
      <c r="V25" s="129">
        <f>COUNTIF(V8:V17,"N/A - no ambulatory care pathway")</f>
        <v>0</v>
      </c>
      <c r="W25" s="128">
        <f>COUNTIF(W8:W17,"N/A - no ambulatory care pathway")</f>
        <v>0</v>
      </c>
      <c r="X25" s="129">
        <f>COUNTIF(X8:X17,"N/A – patient died before getting to this stage; DNACPR in place")</f>
        <v>0</v>
      </c>
      <c r="Y25" s="128">
        <f>COUNTIF(Y8:Y17,"N/A – treatment was escalated")</f>
        <v>0</v>
      </c>
      <c r="Z25" s="128">
        <f>COUNTIF(Z8:Z17,"N/A - already had an IVC filter")</f>
        <v>0</v>
      </c>
      <c r="AA25" s="130">
        <f>COUNTIF(AA8:AA17,"N/A")</f>
        <v>0</v>
      </c>
      <c r="AB25" s="128">
        <f>COUNTIF(AB8:AB17,"N/A - no IVC filter inserted OR permanent IVC filter")</f>
        <v>0</v>
      </c>
      <c r="AC25" s="128">
        <f>COUNTIF(AC8:AC17,"N/A - no IVC filter inserted OR permanent IVC filter")</f>
        <v>0</v>
      </c>
      <c r="AD25" s="128">
        <f t="shared" ref="AD25:AJ25" si="52">COUNTIF(AD8:AD17,"N/A – patient died in hospital")</f>
        <v>0</v>
      </c>
      <c r="AE25" s="128">
        <f t="shared" si="52"/>
        <v>0</v>
      </c>
      <c r="AF25" s="128">
        <f t="shared" si="52"/>
        <v>0</v>
      </c>
      <c r="AG25" s="128">
        <f t="shared" si="52"/>
        <v>0</v>
      </c>
      <c r="AH25" s="128">
        <f t="shared" si="52"/>
        <v>0</v>
      </c>
      <c r="AI25" s="128">
        <f>COUNTIF(AI8:AI17,"N/A – patient died in hospital and/or further investigations not required")</f>
        <v>0</v>
      </c>
      <c r="AJ25" s="128">
        <f t="shared" si="52"/>
        <v>0</v>
      </c>
    </row>
    <row r="26" spans="1:36" s="87" customFormat="1" ht="31.5" x14ac:dyDescent="0.25">
      <c r="A26" s="60" t="s">
        <v>41</v>
      </c>
      <c r="B26" s="85"/>
      <c r="C26" s="85"/>
      <c r="D26" s="86"/>
      <c r="E26" s="86"/>
      <c r="F26" s="122">
        <f>F19+F21+F24+F25</f>
        <v>10</v>
      </c>
      <c r="G26" s="123">
        <f>G19+G21+G24+G25</f>
        <v>10</v>
      </c>
      <c r="H26" s="123">
        <f>H19+H21+H24+H25</f>
        <v>0</v>
      </c>
      <c r="I26" s="122">
        <f t="shared" ref="I26:N26" si="53">I19+I21+I24+I25</f>
        <v>10</v>
      </c>
      <c r="J26" s="122">
        <f t="shared" si="53"/>
        <v>10</v>
      </c>
      <c r="K26" s="122">
        <f t="shared" si="53"/>
        <v>10</v>
      </c>
      <c r="L26" s="122">
        <f t="shared" ref="L26:M26" si="54">L19+L21+L24+L25</f>
        <v>10</v>
      </c>
      <c r="M26" s="122">
        <f t="shared" si="54"/>
        <v>10</v>
      </c>
      <c r="N26" s="122">
        <f t="shared" si="53"/>
        <v>10</v>
      </c>
      <c r="O26" s="122">
        <f t="shared" ref="O26:P26" si="55">O19+O21+O24+O25</f>
        <v>0</v>
      </c>
      <c r="P26" s="122">
        <f t="shared" si="55"/>
        <v>0</v>
      </c>
      <c r="Q26" s="124">
        <f t="shared" ref="Q26:T26" si="56">Q19+Q21+Q24+Q25</f>
        <v>0</v>
      </c>
      <c r="R26" s="122">
        <f t="shared" ref="R26:S26" si="57">R19+R21+R24+R25</f>
        <v>10</v>
      </c>
      <c r="S26" s="122">
        <f t="shared" si="57"/>
        <v>0</v>
      </c>
      <c r="T26" s="122">
        <f t="shared" si="56"/>
        <v>10</v>
      </c>
      <c r="U26" s="122">
        <f t="shared" ref="U26:W26" si="58">U19+U21+U24+U25</f>
        <v>0</v>
      </c>
      <c r="V26" s="123">
        <f t="shared" si="58"/>
        <v>10</v>
      </c>
      <c r="W26" s="122">
        <f t="shared" si="58"/>
        <v>10</v>
      </c>
      <c r="X26" s="123">
        <f t="shared" ref="X26:AC26" si="59">X19+X21+X24+X25</f>
        <v>10</v>
      </c>
      <c r="Y26" s="122">
        <f t="shared" si="59"/>
        <v>0</v>
      </c>
      <c r="Z26" s="122">
        <f t="shared" si="59"/>
        <v>10</v>
      </c>
      <c r="AA26" s="124">
        <f t="shared" si="59"/>
        <v>0</v>
      </c>
      <c r="AB26" s="122">
        <f t="shared" si="59"/>
        <v>10</v>
      </c>
      <c r="AC26" s="122">
        <f t="shared" si="59"/>
        <v>10</v>
      </c>
      <c r="AD26" s="122">
        <f t="shared" ref="AD26:AJ26" si="60">AD19+AD21+AD24+AD25</f>
        <v>10</v>
      </c>
      <c r="AE26" s="122">
        <f t="shared" si="60"/>
        <v>10</v>
      </c>
      <c r="AF26" s="122">
        <f t="shared" si="60"/>
        <v>10</v>
      </c>
      <c r="AG26" s="122">
        <f t="shared" si="60"/>
        <v>10</v>
      </c>
      <c r="AH26" s="122">
        <f t="shared" si="60"/>
        <v>10</v>
      </c>
      <c r="AI26" s="122">
        <f t="shared" si="60"/>
        <v>10</v>
      </c>
      <c r="AJ26" s="122">
        <f t="shared" si="60"/>
        <v>10</v>
      </c>
    </row>
    <row r="27" spans="1:36" s="185" customFormat="1" x14ac:dyDescent="0.25">
      <c r="B27" s="186"/>
      <c r="C27" s="186"/>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row>
    <row r="28" spans="1:36" s="32" customFormat="1" x14ac:dyDescent="0.25">
      <c r="A28" s="32" t="s">
        <v>96</v>
      </c>
      <c r="B28" s="113"/>
      <c r="C28" s="113"/>
      <c r="F28" s="189">
        <f t="shared" ref="F28:W28" si="61">COUNTIF(F8:F17,"")</f>
        <v>10</v>
      </c>
      <c r="G28" s="189">
        <f t="shared" si="61"/>
        <v>10</v>
      </c>
      <c r="H28" s="189">
        <f t="shared" si="61"/>
        <v>0</v>
      </c>
      <c r="I28" s="189">
        <f t="shared" si="61"/>
        <v>10</v>
      </c>
      <c r="J28" s="189">
        <f t="shared" si="61"/>
        <v>10</v>
      </c>
      <c r="K28" s="189">
        <f t="shared" si="61"/>
        <v>10</v>
      </c>
      <c r="L28" s="189">
        <f t="shared" si="61"/>
        <v>10</v>
      </c>
      <c r="M28" s="189">
        <f t="shared" ref="M28" si="62">COUNTIF(M8:M17,"")</f>
        <v>10</v>
      </c>
      <c r="N28" s="189">
        <f t="shared" si="61"/>
        <v>10</v>
      </c>
      <c r="O28" s="189">
        <f t="shared" si="61"/>
        <v>0</v>
      </c>
      <c r="P28" s="189">
        <f t="shared" si="61"/>
        <v>0</v>
      </c>
      <c r="Q28" s="189">
        <f>COUNTIF(Q8:Q17,"")</f>
        <v>0</v>
      </c>
      <c r="R28" s="189">
        <f t="shared" si="61"/>
        <v>10</v>
      </c>
      <c r="S28" s="189">
        <f t="shared" si="61"/>
        <v>0</v>
      </c>
      <c r="T28" s="189">
        <f t="shared" si="61"/>
        <v>10</v>
      </c>
      <c r="U28" s="189">
        <f t="shared" si="61"/>
        <v>0</v>
      </c>
      <c r="V28" s="189">
        <f t="shared" si="61"/>
        <v>10</v>
      </c>
      <c r="W28" s="189">
        <f t="shared" si="61"/>
        <v>10</v>
      </c>
      <c r="X28" s="189">
        <f t="shared" ref="X28:AC28" si="63">COUNTIF(X8:X17,"")</f>
        <v>10</v>
      </c>
      <c r="Y28" s="189">
        <f t="shared" si="63"/>
        <v>0</v>
      </c>
      <c r="Z28" s="189">
        <f t="shared" si="63"/>
        <v>10</v>
      </c>
      <c r="AA28" s="189">
        <f t="shared" si="63"/>
        <v>0</v>
      </c>
      <c r="AB28" s="189">
        <f t="shared" si="63"/>
        <v>10</v>
      </c>
      <c r="AC28" s="189">
        <f t="shared" si="63"/>
        <v>10</v>
      </c>
      <c r="AD28" s="189">
        <f t="shared" ref="AD28:AJ28" si="64">COUNTIF(AD8:AD17,"")</f>
        <v>10</v>
      </c>
      <c r="AE28" s="189">
        <f t="shared" si="64"/>
        <v>10</v>
      </c>
      <c r="AF28" s="189">
        <f t="shared" si="64"/>
        <v>10</v>
      </c>
      <c r="AG28" s="189">
        <f t="shared" si="64"/>
        <v>10</v>
      </c>
      <c r="AH28" s="189">
        <f t="shared" si="64"/>
        <v>10</v>
      </c>
      <c r="AI28" s="189">
        <f t="shared" si="64"/>
        <v>10</v>
      </c>
      <c r="AJ28" s="189">
        <f t="shared" si="64"/>
        <v>10</v>
      </c>
    </row>
    <row r="29" spans="1:36" s="190" customFormat="1" ht="47.25" x14ac:dyDescent="0.25">
      <c r="A29" s="190" t="s">
        <v>58</v>
      </c>
      <c r="B29" s="113"/>
      <c r="C29" s="113"/>
      <c r="F29" s="191" t="str">
        <f>IF(F24=F26,"No data",IF(F25=F26,"N/A - new diagnosis of PE was an incidental finding on imaging",IF(F24+F25=F26,"N/A - new diagnosis of PE was an incidental finding on imaging",F20)))</f>
        <v>No data</v>
      </c>
      <c r="G29" s="191" t="str">
        <f>IF(G24=G26,"No data",IF(G25=G26,"N/A",IF(G24+G25=G26,"N/A",G20)))</f>
        <v>No data</v>
      </c>
      <c r="H29" s="191" t="str">
        <f>IF(H24=H26,"No data",IF(H25=H26,"N/A – contraindicated; not suspected of having an acute PE/PE incidentally diagnosed on imaging for another reason",IF(H24+H25=H26,"N/A – contraindicated; not suspected of having an acute PE/PE incidentally diagnosed on imaging for another reason",H20)))</f>
        <v>No data</v>
      </c>
      <c r="I29" s="191" t="str">
        <f>IF(I24=I26,"No data",IF(I25=I26,"N/A - contraindicated; not suspected of having an acute PE",IF(I24+I25=I26,"N/A - contraindicated; not suspected of having an acute PE",I20)))</f>
        <v>No data</v>
      </c>
      <c r="J29" s="191" t="str">
        <f>IF(J24=J26,"No data",IF(J25=J26,"N/A - no CT performed",IF(J24+J25=J26,"N/A - no CT performed",J20)))</f>
        <v>No data</v>
      </c>
      <c r="K29" s="191" t="str">
        <f>IF(K24=K26,"No data",IF(K25=K26,"N/A - no CTPA",IF(K24+K25=K26,"N/A - no CTPA",K20)))</f>
        <v>No data</v>
      </c>
      <c r="L29" s="191" t="str">
        <f>IF(L24=L26,"No data",IF(L25=L26,"N/A",IF(L24+L25=L26,"N/A",L20)))</f>
        <v>No data</v>
      </c>
      <c r="M29" s="191" t="str">
        <f>IF(M24=M26,"No data",IF(M25=M26,"N/A",IF(M24+M25=M26,"N/A",M20)))</f>
        <v>No data</v>
      </c>
      <c r="N29" s="191" t="str">
        <f t="shared" ref="N29" si="65">IF(N24=N26,"No data",IF(N25=N26,"NA",IF(N24+N25=N26,"NA",N20)))</f>
        <v>No data</v>
      </c>
      <c r="O29" s="191" t="str">
        <f>IF(O24=O26,"No data",IF(O25=O26,"N/A",IF(O24+O25=O26,"N/A",O20)))</f>
        <v>No data</v>
      </c>
      <c r="P29" s="191" t="str">
        <f>IF(P24=P26,"No data",IF(P25=P26,"N/A - not indicated (already had this on CT or normal RV on CT and low severity score)",IF(P24+P25=P26,"N/A - not indicated (already had this on CT or normal RV on CT and low severity score)",P20)))</f>
        <v>No data</v>
      </c>
      <c r="Q29" s="191" t="str">
        <f>IF(Q24=Q26,"No data",IF(Q25=Q26,"N/A",IF(Q24+Q25=Q26,"N/A",Q20)))</f>
        <v>No data</v>
      </c>
      <c r="R29" s="191" t="str">
        <f>IF(R24=R26,"No data",IF(R25=R26,"N/A – not high or intermediate risk; no guidance",IF(R24+R25=R26,"N/A – not high or intermediate risk; no guidance",R20)))</f>
        <v>No data</v>
      </c>
      <c r="S29" s="191" t="str">
        <f>IF(S24=S26,"No data",IF(S25=S26,"N/A – not high or intermediate risk",IF(S24+S25=S26,"N/A – not high or intermediate risk",S20)))</f>
        <v>No data</v>
      </c>
      <c r="T29" s="191" t="str">
        <f>IF(T24=T26,"No data",IF(T25=T26,"N/A",IF(T24+T25=T26,"N/A",T20)))</f>
        <v>No data</v>
      </c>
      <c r="U29" s="191" t="str">
        <f>IF(U24=U26,"No data",IF(U25=U26,"N/A – no amendments/updates",IF(U24+U25=U26,"N/A – no amendments/updates",U20)))</f>
        <v>No data</v>
      </c>
      <c r="V29" s="191" t="str">
        <f>IF(V24=V26,"No data",IF(V25=V26,"N/A - no ambulatory care pathway",IF(V24+V25=V26,"N/A - no ambulatory care pathway",V20)))</f>
        <v>No data</v>
      </c>
      <c r="W29" s="191" t="str">
        <f>IF(W24=W26,"No data",IF(W25=W26,"N/A - no ambulatory care pathway",IF(W24+W25=W26,"N/A - no ambulatory care pathway",W20)))</f>
        <v>No data</v>
      </c>
      <c r="X29" s="191" t="str">
        <f>IF(X24=X26,"No data",IF(X25=X26,"N/A – patient died before getting to this stage; DNACPR in place",IF(X24+X25=X26,"N/A – patient died before getting to this stage; DNACPR in place",X20)))</f>
        <v>No data</v>
      </c>
      <c r="Y29" s="191" t="str">
        <f>IF(Y24=Y26,"No data",IF(Y25=Y26,"N/A – treatment was escalated",IF(Y24+Y25=Y26,"N/A – treatment was escalated",Y20)))</f>
        <v>No data</v>
      </c>
      <c r="Z29" s="191" t="str">
        <f>IF(Z24=Z26,"No data",IF(Z25=Z26,"N/A - already had an IVC filter",IF(Z24+Z25=Z26,"N/A - already had an IVC filter",Z20)))</f>
        <v>No data</v>
      </c>
      <c r="AA29" s="191" t="str">
        <f>IF(AA24=AA26,"No data",IF(AA25=AA26,"N/A",IF(AA24+AA25=AA26,"N/A",AA20)))</f>
        <v>No data</v>
      </c>
      <c r="AB29" s="191" t="str">
        <f>IF(AB24=AB26,"No data",IF(AB25=AB26,"N/A - no IVC filter inserted OR permanent IVC filter",IF(AB24+AB25=AB26,"N/A - no IVC filter inserted OR permanent IVC filter",AB20)))</f>
        <v>No data</v>
      </c>
      <c r="AC29" s="191" t="str">
        <f>IF(AC24=AC26,"No data",IF(AC25=AC26,"N/A - no IVC filter inserted OR permanent IVC filter",IF(AC24+AC25=AC26,"N/A - no IVC filter inserted OR permanent IVC filter",AC20)))</f>
        <v>No data</v>
      </c>
      <c r="AD29" s="191" t="str">
        <f t="shared" ref="AD29:AJ29" si="66">IF(AD24=AD26,"No data",IF(AD25=AD26,"N/A – patient died in hospital",IF(AD24+AD25=AD26,"N/A – patient died in hospital",AD20)))</f>
        <v>No data</v>
      </c>
      <c r="AE29" s="191" t="str">
        <f t="shared" si="66"/>
        <v>No data</v>
      </c>
      <c r="AF29" s="191" t="str">
        <f t="shared" si="66"/>
        <v>No data</v>
      </c>
      <c r="AG29" s="191" t="str">
        <f t="shared" si="66"/>
        <v>No data</v>
      </c>
      <c r="AH29" s="191" t="str">
        <f t="shared" si="66"/>
        <v>No data</v>
      </c>
      <c r="AI29" s="191" t="str">
        <f>IF(AI24=AI26,"No data",IF(AI25=AI26,"N/A – patient died in hospital and/or further investigations not required",IF(AI24+AI25=AI26,"N/A – patient died in hospital and/or further investigations not required",AI20)))</f>
        <v>No data</v>
      </c>
      <c r="AJ29" s="191" t="str">
        <f t="shared" si="66"/>
        <v>No data</v>
      </c>
    </row>
    <row r="30" spans="1:36" s="113" customFormat="1" x14ac:dyDescent="0.25">
      <c r="A30" s="32"/>
      <c r="U30" s="192"/>
    </row>
    <row r="31" spans="1:36" s="113" customFormat="1" x14ac:dyDescent="0.25">
      <c r="A31" s="32"/>
      <c r="U31" s="192"/>
    </row>
    <row r="32" spans="1:36" s="113" customFormat="1" x14ac:dyDescent="0.25">
      <c r="A32" s="32"/>
      <c r="U32" s="192"/>
    </row>
    <row r="33" spans="1:24" s="113" customFormat="1" x14ac:dyDescent="0.25">
      <c r="A33" s="32"/>
      <c r="U33" s="192"/>
    </row>
    <row r="34" spans="1:24" s="113" customFormat="1" x14ac:dyDescent="0.25">
      <c r="A34" s="32"/>
      <c r="U34" s="192"/>
    </row>
    <row r="35" spans="1:24" s="113" customFormat="1" x14ac:dyDescent="0.25">
      <c r="A35" s="32"/>
      <c r="U35" s="192"/>
    </row>
    <row r="36" spans="1:24" s="113" customFormat="1" x14ac:dyDescent="0.25">
      <c r="A36" s="32"/>
      <c r="U36" s="192"/>
    </row>
    <row r="37" spans="1:24" s="113" customFormat="1" x14ac:dyDescent="0.25">
      <c r="A37" s="32"/>
      <c r="U37" s="192"/>
    </row>
    <row r="38" spans="1:24" s="113" customFormat="1" x14ac:dyDescent="0.25">
      <c r="A38" s="32"/>
      <c r="U38" s="192"/>
    </row>
    <row r="39" spans="1:24" s="113" customFormat="1" x14ac:dyDescent="0.25">
      <c r="A39" s="32"/>
      <c r="U39" s="192"/>
    </row>
    <row r="40" spans="1:24" s="69" customFormat="1" x14ac:dyDescent="0.25">
      <c r="A40" s="32"/>
      <c r="U40" s="188"/>
      <c r="V40" s="186"/>
      <c r="X40" s="186"/>
    </row>
    <row r="41" spans="1:24" s="69" customFormat="1" x14ac:dyDescent="0.25">
      <c r="A41" s="32"/>
      <c r="U41" s="188"/>
      <c r="V41" s="186"/>
      <c r="X41" s="186"/>
    </row>
    <row r="42" spans="1:24" s="69" customFormat="1" x14ac:dyDescent="0.25">
      <c r="A42" s="32"/>
      <c r="U42" s="188"/>
      <c r="V42" s="186"/>
      <c r="X42" s="186"/>
    </row>
    <row r="43" spans="1:24" s="69" customFormat="1" x14ac:dyDescent="0.25">
      <c r="A43" s="32"/>
      <c r="U43" s="188"/>
      <c r="V43" s="186"/>
      <c r="X43" s="186"/>
    </row>
    <row r="44" spans="1:24" x14ac:dyDescent="0.25">
      <c r="A44" s="66"/>
      <c r="U44" s="67"/>
    </row>
    <row r="45" spans="1:24" x14ac:dyDescent="0.25">
      <c r="A45" s="66"/>
      <c r="U45" s="67"/>
    </row>
    <row r="46" spans="1:24" x14ac:dyDescent="0.25">
      <c r="A46" s="66"/>
      <c r="U46" s="67"/>
    </row>
    <row r="47" spans="1:24" x14ac:dyDescent="0.25">
      <c r="A47" s="66"/>
      <c r="U47" s="67"/>
    </row>
  </sheetData>
  <mergeCells count="22">
    <mergeCell ref="G3:I3"/>
    <mergeCell ref="G4:I4"/>
    <mergeCell ref="J3:K3"/>
    <mergeCell ref="Z3:AC3"/>
    <mergeCell ref="AB4:AC4"/>
    <mergeCell ref="V4:W4"/>
    <mergeCell ref="N3:S3"/>
    <mergeCell ref="L3:M3"/>
    <mergeCell ref="A1:A2"/>
    <mergeCell ref="B3:C3"/>
    <mergeCell ref="B4:C4"/>
    <mergeCell ref="D4:E4"/>
    <mergeCell ref="D3:E3"/>
    <mergeCell ref="AD3:AJ3"/>
    <mergeCell ref="AD4:AE4"/>
    <mergeCell ref="O4:Q4"/>
    <mergeCell ref="T3:U3"/>
    <mergeCell ref="T4:U4"/>
    <mergeCell ref="V3:W3"/>
    <mergeCell ref="X3:Y3"/>
    <mergeCell ref="X4:Y4"/>
    <mergeCell ref="AF4:AJ4"/>
  </mergeCells>
  <conditionalFormatting sqref="O18 T18">
    <cfRule type="containsText" dxfId="29" priority="69" operator="containsText" text="no">
      <formula>NOT(ISERROR(SEARCH("no",O18)))</formula>
    </cfRule>
  </conditionalFormatting>
  <conditionalFormatting sqref="F8:F17">
    <cfRule type="expression" dxfId="28" priority="49">
      <formula>(F8:F17="No")</formula>
    </cfRule>
  </conditionalFormatting>
  <conditionalFormatting sqref="J8:J17">
    <cfRule type="expression" dxfId="27" priority="46">
      <formula>(J8:J17="No")</formula>
    </cfRule>
  </conditionalFormatting>
  <conditionalFormatting sqref="I8:I17">
    <cfRule type="expression" dxfId="26" priority="47">
      <formula>(I8:I17="No")</formula>
    </cfRule>
  </conditionalFormatting>
  <conditionalFormatting sqref="K8:K17">
    <cfRule type="expression" dxfId="25" priority="44">
      <formula>(K8:K17="No")</formula>
    </cfRule>
  </conditionalFormatting>
  <conditionalFormatting sqref="N8:N17">
    <cfRule type="expression" dxfId="24" priority="40">
      <formula>(N8:N17="No")</formula>
    </cfRule>
  </conditionalFormatting>
  <conditionalFormatting sqref="O8:O17">
    <cfRule type="cellIs" dxfId="23" priority="7" operator="equal">
      <formula>"no"</formula>
    </cfRule>
    <cfRule type="cellIs" dxfId="22" priority="8" operator="equal">
      <formula>"no"</formula>
    </cfRule>
    <cfRule type="expression" dxfId="21" priority="39">
      <formula>(O8:O17="No")</formula>
    </cfRule>
  </conditionalFormatting>
  <conditionalFormatting sqref="R8:R17">
    <cfRule type="expression" dxfId="20" priority="35">
      <formula>(R8:R17="No")</formula>
    </cfRule>
  </conditionalFormatting>
  <conditionalFormatting sqref="L8:M17">
    <cfRule type="expression" dxfId="19" priority="29">
      <formula>(L8:L17="No")</formula>
    </cfRule>
  </conditionalFormatting>
  <conditionalFormatting sqref="V8:V17">
    <cfRule type="expression" dxfId="18" priority="25">
      <formula>(V8:V17="No")</formula>
    </cfRule>
  </conditionalFormatting>
  <conditionalFormatting sqref="W8:W17">
    <cfRule type="expression" dxfId="17" priority="23">
      <formula>(W8:W17="No")</formula>
    </cfRule>
  </conditionalFormatting>
  <conditionalFormatting sqref="X8:X17">
    <cfRule type="expression" dxfId="16" priority="19">
      <formula>(X8:X17="No")</formula>
    </cfRule>
  </conditionalFormatting>
  <conditionalFormatting sqref="Z8:Z17">
    <cfRule type="expression" dxfId="15" priority="17">
      <formula>(Z8:Z17="No")</formula>
    </cfRule>
  </conditionalFormatting>
  <conditionalFormatting sqref="AB8:AB17">
    <cfRule type="expression" dxfId="14" priority="16">
      <formula>(AB8:AB17="No")</formula>
    </cfRule>
  </conditionalFormatting>
  <conditionalFormatting sqref="AC8:AC17">
    <cfRule type="expression" dxfId="13" priority="15">
      <formula>(AC8:AC17="No")</formula>
    </cfRule>
  </conditionalFormatting>
  <conditionalFormatting sqref="AD8:AD17">
    <cfRule type="expression" dxfId="12" priority="13">
      <formula>(AD8:AD17="No")</formula>
    </cfRule>
  </conditionalFormatting>
  <conditionalFormatting sqref="AE8:AJ17">
    <cfRule type="expression" dxfId="11" priority="12">
      <formula>(AE8:AE17="No")</formula>
    </cfRule>
  </conditionalFormatting>
  <conditionalFormatting sqref="G8:G17">
    <cfRule type="cellIs" dxfId="10" priority="10" operator="equal">
      <formula>"yes"</formula>
    </cfRule>
  </conditionalFormatting>
  <conditionalFormatting sqref="Q8:Q17">
    <cfRule type="cellIs" dxfId="9" priority="6" operator="equal">
      <formula>"no"</formula>
    </cfRule>
  </conditionalFormatting>
  <conditionalFormatting sqref="U8:U17">
    <cfRule type="cellIs" dxfId="8" priority="5" operator="equal">
      <formula>"no"</formula>
    </cfRule>
  </conditionalFormatting>
  <conditionalFormatting sqref="S8:S17">
    <cfRule type="cellIs" dxfId="7" priority="4" operator="equal">
      <formula>"no"</formula>
    </cfRule>
  </conditionalFormatting>
  <conditionalFormatting sqref="Y8:Y17">
    <cfRule type="cellIs" dxfId="6" priority="3" operator="equal">
      <formula>"no"</formula>
    </cfRule>
  </conditionalFormatting>
  <conditionalFormatting sqref="AA8:AA17">
    <cfRule type="cellIs" dxfId="5" priority="2" operator="equal">
      <formula>"no"</formula>
    </cfRule>
  </conditionalFormatting>
  <conditionalFormatting sqref="T8:T17">
    <cfRule type="cellIs" dxfId="4" priority="1" operator="equal">
      <formula>"no"</formula>
    </cfRule>
  </conditionalFormatting>
  <dataValidations count="2">
    <dataValidation type="date" allowBlank="1" showInputMessage="1" showErrorMessage="1" sqref="E8:E17" xr:uid="{00000000-0002-0000-0200-000000000000}">
      <formula1>40179</formula1>
      <formula2>58441</formula2>
    </dataValidation>
    <dataValidation type="time" allowBlank="1" showInputMessage="1" showErrorMessage="1" sqref="D8:D17" xr:uid="{00000000-0002-0000-0200-000001000000}">
      <formula1>0</formula1>
      <formula2>0.999305555555556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2000000}">
          <x14:formula1>
            <xm:f>answer_sheet!$G$2:$G$3</xm:f>
          </x14:formula1>
          <xm:sqref>AJ8:AJ17</xm:sqref>
        </x14:dataValidation>
        <x14:dataValidation type="list" allowBlank="1" showInputMessage="1" showErrorMessage="1" xr:uid="{00000000-0002-0000-0200-000003000000}">
          <x14:formula1>
            <xm:f>answer_sheet!$A$2:$A$4</xm:f>
          </x14:formula1>
          <xm:sqref>C8:C17</xm:sqref>
        </x14:dataValidation>
        <x14:dataValidation type="list" allowBlank="1" showInputMessage="1" showErrorMessage="1" xr:uid="{00000000-0002-0000-0200-000004000000}">
          <x14:formula1>
            <xm:f>answer_sheet!$O$2:$O$4</xm:f>
          </x14:formula1>
          <xm:sqref>P8:P17</xm:sqref>
        </x14:dataValidation>
        <x14:dataValidation type="list" allowBlank="1" showInputMessage="1" showErrorMessage="1" xr:uid="{00000000-0002-0000-0200-000005000000}">
          <x14:formula1>
            <xm:f>answer_sheet!$G$2:$G$3</xm:f>
          </x14:formula1>
          <xm:sqref>Q8:Q17 AA8:AA17 L8:O17 G8:G17 T8:T17</xm:sqref>
        </x14:dataValidation>
        <x14:dataValidation type="list" allowBlank="1" showInputMessage="1" showErrorMessage="1" xr:uid="{00000000-0002-0000-0200-000006000000}">
          <x14:formula1>
            <xm:f>answer_sheet!$U$2:$U$4</xm:f>
          </x14:formula1>
          <xm:sqref>V8:W17</xm:sqref>
        </x14:dataValidation>
        <x14:dataValidation type="list" allowBlank="1" showInputMessage="1" showErrorMessage="1" xr:uid="{00000000-0002-0000-0200-000007000000}">
          <x14:formula1>
            <xm:f>answer_sheet!$I$2:$I$4</xm:f>
          </x14:formula1>
          <xm:sqref>I8:I17</xm:sqref>
        </x14:dataValidation>
        <x14:dataValidation type="list" allowBlank="1" showInputMessage="1" showErrorMessage="1" xr:uid="{00000000-0002-0000-0200-000008000000}">
          <x14:formula1>
            <xm:f>answer_sheet!$K$2:$K$4</xm:f>
          </x14:formula1>
          <xm:sqref>J8:J17</xm:sqref>
        </x14:dataValidation>
        <x14:dataValidation type="list" allowBlank="1" showInputMessage="1" showErrorMessage="1" xr:uid="{00000000-0002-0000-0200-000009000000}">
          <x14:formula1>
            <xm:f>answer_sheet!$M$2:$M$4</xm:f>
          </x14:formula1>
          <xm:sqref>K8:K17</xm:sqref>
        </x14:dataValidation>
        <x14:dataValidation type="list" allowBlank="1" showInputMessage="1" showErrorMessage="1" xr:uid="{00000000-0002-0000-0200-00000A000000}">
          <x14:formula1>
            <xm:f>answer_sheet!$Q$2:$Q$4</xm:f>
          </x14:formula1>
          <xm:sqref>R8:R17</xm:sqref>
        </x14:dataValidation>
        <x14:dataValidation type="list" allowBlank="1" showInputMessage="1" showErrorMessage="1" xr:uid="{00000000-0002-0000-0200-00000B000000}">
          <x14:formula1>
            <xm:f>answer_sheet!$S$2:$S$4</xm:f>
          </x14:formula1>
          <xm:sqref>S8:S17</xm:sqref>
        </x14:dataValidation>
        <x14:dataValidation type="list" allowBlank="1" showInputMessage="1" showErrorMessage="1" xr:uid="{00000000-0002-0000-0200-00000C000000}">
          <x14:formula1>
            <xm:f>answer_sheet!$W$2:$W$4</xm:f>
          </x14:formula1>
          <xm:sqref>X8:X17</xm:sqref>
        </x14:dataValidation>
        <x14:dataValidation type="list" allowBlank="1" showInputMessage="1" showErrorMessage="1" xr:uid="{00000000-0002-0000-0200-00000D000000}">
          <x14:formula1>
            <xm:f>answer_sheet!$Y$2:$Y$4</xm:f>
          </x14:formula1>
          <xm:sqref>Y8:Y17</xm:sqref>
        </x14:dataValidation>
        <x14:dataValidation type="list" allowBlank="1" showInputMessage="1" showErrorMessage="1" xr:uid="{00000000-0002-0000-0200-00000E000000}">
          <x14:formula1>
            <xm:f>answer_sheet!$AA$2:$AA$4</xm:f>
          </x14:formula1>
          <xm:sqref>Z8:Z17</xm:sqref>
        </x14:dataValidation>
        <x14:dataValidation type="list" allowBlank="1" showInputMessage="1" showErrorMessage="1" xr:uid="{00000000-0002-0000-0200-00000F000000}">
          <x14:formula1>
            <xm:f>answer_sheet!$AG$2:$AG$4</xm:f>
          </x14:formula1>
          <xm:sqref>AD8:AH17</xm:sqref>
        </x14:dataValidation>
        <x14:dataValidation type="list" allowBlank="1" showInputMessage="1" showErrorMessage="1" xr:uid="{00000000-0002-0000-0200-000010000000}">
          <x14:formula1>
            <xm:f>answer_sheet!$AI$2:$AI$4</xm:f>
          </x14:formula1>
          <xm:sqref>AI8:AI17</xm:sqref>
        </x14:dataValidation>
        <x14:dataValidation type="list" allowBlank="1" showInputMessage="1" showErrorMessage="1" xr:uid="{00000000-0002-0000-0200-000011000000}">
          <x14:formula1>
            <xm:f>answer_sheet!$AK$2:$AK$4</xm:f>
          </x14:formula1>
          <xm:sqref>U8:U17</xm:sqref>
        </x14:dataValidation>
        <x14:dataValidation type="list" allowBlank="1" showInputMessage="1" showErrorMessage="1" xr:uid="{00000000-0002-0000-0200-000012000000}">
          <x14:formula1>
            <xm:f>answer_sheet!$C$2:$C$4</xm:f>
          </x14:formula1>
          <xm:sqref>F8:F17</xm:sqref>
        </x14:dataValidation>
        <x14:dataValidation type="list" allowBlank="1" showInputMessage="1" showErrorMessage="1" xr:uid="{00000000-0002-0000-0200-000013000000}">
          <x14:formula1>
            <xm:f>answer_sheet!$E$2:$E$4</xm:f>
          </x14:formula1>
          <xm:sqref>H8:H17</xm:sqref>
        </x14:dataValidation>
        <x14:dataValidation type="list" allowBlank="1" showInputMessage="1" showErrorMessage="1" xr:uid="{00000000-0002-0000-0200-000014000000}">
          <x14:formula1>
            <xm:f>answer_sheet!$AC$2:$AC$4</xm:f>
          </x14:formula1>
          <xm:sqref>AB8:AC17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H1:U22"/>
  <sheetViews>
    <sheetView showGridLines="0" zoomScale="80" zoomScaleNormal="80" workbookViewId="0">
      <selection activeCell="R22" sqref="R22"/>
    </sheetView>
  </sheetViews>
  <sheetFormatPr defaultRowHeight="15" x14ac:dyDescent="0.25"/>
  <cols>
    <col min="8" max="8" width="15.85546875" customWidth="1"/>
    <col min="19" max="19" width="3.140625" customWidth="1"/>
    <col min="20" max="20" width="43.5703125" customWidth="1"/>
  </cols>
  <sheetData>
    <row r="1" spans="8:21" x14ac:dyDescent="0.25">
      <c r="I1" s="174" t="s">
        <v>49</v>
      </c>
      <c r="J1" s="175"/>
      <c r="K1" s="175"/>
      <c r="L1" s="175"/>
      <c r="M1" s="175"/>
      <c r="N1" s="175"/>
      <c r="O1" s="175"/>
      <c r="P1" s="175"/>
      <c r="Q1" s="175"/>
      <c r="R1" s="176"/>
    </row>
    <row r="2" spans="8:21" ht="17.25" customHeight="1" x14ac:dyDescent="0.25">
      <c r="H2" s="82" t="s">
        <v>94</v>
      </c>
      <c r="I2" s="17">
        <v>7</v>
      </c>
      <c r="J2" s="17">
        <v>1</v>
      </c>
      <c r="K2" s="17">
        <v>3</v>
      </c>
      <c r="L2" s="17">
        <v>2</v>
      </c>
      <c r="M2" s="17">
        <v>4</v>
      </c>
      <c r="N2" s="17">
        <v>9</v>
      </c>
      <c r="O2" s="17">
        <v>5</v>
      </c>
      <c r="P2" s="17">
        <v>10</v>
      </c>
      <c r="Q2" s="17">
        <v>11</v>
      </c>
      <c r="R2" s="17">
        <v>6</v>
      </c>
      <c r="T2" s="177" t="s">
        <v>44</v>
      </c>
      <c r="U2" s="178" t="s">
        <v>45</v>
      </c>
    </row>
    <row r="3" spans="8:21" x14ac:dyDescent="0.25">
      <c r="I3" s="18">
        <v>4</v>
      </c>
      <c r="J3" s="18">
        <v>5</v>
      </c>
      <c r="K3" s="18">
        <v>8</v>
      </c>
      <c r="L3" s="18" t="s">
        <v>203</v>
      </c>
      <c r="M3" s="18" t="s">
        <v>185</v>
      </c>
      <c r="N3" s="19" t="s">
        <v>105</v>
      </c>
      <c r="O3" s="18">
        <v>14</v>
      </c>
      <c r="P3" s="18" t="s">
        <v>189</v>
      </c>
      <c r="Q3" s="18" t="s">
        <v>168</v>
      </c>
      <c r="R3" s="18" t="s">
        <v>172</v>
      </c>
      <c r="T3" s="177"/>
      <c r="U3" s="178"/>
    </row>
    <row r="4" spans="8:21" x14ac:dyDescent="0.25">
      <c r="J4" s="18">
        <v>6</v>
      </c>
      <c r="K4" s="18">
        <v>9</v>
      </c>
      <c r="L4" s="18" t="s">
        <v>204</v>
      </c>
      <c r="M4" s="18" t="s">
        <v>186</v>
      </c>
      <c r="N4" s="18" t="s">
        <v>108</v>
      </c>
      <c r="O4" s="18">
        <v>15</v>
      </c>
      <c r="P4" s="18" t="s">
        <v>190</v>
      </c>
      <c r="Q4" s="18" t="s">
        <v>169</v>
      </c>
      <c r="R4" s="18" t="s">
        <v>173</v>
      </c>
      <c r="T4" s="177"/>
      <c r="U4" s="178"/>
    </row>
    <row r="5" spans="8:21" x14ac:dyDescent="0.25">
      <c r="I5" s="16"/>
      <c r="J5" s="18">
        <v>7</v>
      </c>
      <c r="K5" s="16"/>
      <c r="L5" s="16"/>
      <c r="M5" s="18" t="s">
        <v>187</v>
      </c>
      <c r="N5" s="16"/>
      <c r="O5" s="20"/>
      <c r="P5" s="16"/>
      <c r="Q5" s="18" t="s">
        <v>170</v>
      </c>
      <c r="R5" s="18" t="s">
        <v>174</v>
      </c>
      <c r="S5" s="20"/>
      <c r="T5" s="177"/>
      <c r="U5" s="178"/>
    </row>
    <row r="6" spans="8:21" x14ac:dyDescent="0.25">
      <c r="I6" s="16"/>
      <c r="J6" s="16"/>
      <c r="K6" s="16"/>
      <c r="L6" s="16"/>
      <c r="M6" s="18" t="s">
        <v>188</v>
      </c>
      <c r="N6" s="16"/>
      <c r="O6" s="20"/>
      <c r="P6" s="20"/>
      <c r="Q6" s="18" t="s">
        <v>171</v>
      </c>
      <c r="R6" s="18" t="s">
        <v>175</v>
      </c>
      <c r="S6" s="20"/>
      <c r="T6" s="177"/>
      <c r="U6" s="178"/>
    </row>
    <row r="7" spans="8:21" x14ac:dyDescent="0.25">
      <c r="I7" s="16"/>
      <c r="J7" s="16"/>
      <c r="K7" s="16"/>
      <c r="L7" s="16"/>
      <c r="M7" s="18" t="s">
        <v>106</v>
      </c>
      <c r="N7" s="16"/>
      <c r="O7" s="20"/>
      <c r="P7" s="16"/>
      <c r="Q7" s="20"/>
      <c r="R7" s="18" t="s">
        <v>191</v>
      </c>
      <c r="S7" s="20"/>
      <c r="T7" s="23" t="s">
        <v>46</v>
      </c>
      <c r="U7" s="24">
        <v>100</v>
      </c>
    </row>
    <row r="8" spans="8:21" x14ac:dyDescent="0.25">
      <c r="I8" s="20"/>
      <c r="J8" s="16"/>
      <c r="K8" s="16"/>
      <c r="L8" s="16"/>
      <c r="M8" s="18" t="s">
        <v>107</v>
      </c>
      <c r="N8" s="16"/>
      <c r="O8" s="20"/>
      <c r="P8" s="20"/>
      <c r="Q8" s="20"/>
      <c r="R8" s="18" t="s">
        <v>192</v>
      </c>
      <c r="S8" s="20"/>
      <c r="T8" s="25" t="s">
        <v>47</v>
      </c>
      <c r="U8" s="26" t="s">
        <v>51</v>
      </c>
    </row>
    <row r="9" spans="8:21" x14ac:dyDescent="0.25">
      <c r="I9" s="16"/>
      <c r="J9" s="16"/>
      <c r="K9" s="16"/>
      <c r="L9" s="16"/>
      <c r="M9" s="16"/>
      <c r="N9" s="16"/>
      <c r="O9" s="104"/>
      <c r="P9" s="16"/>
      <c r="Q9" s="16"/>
      <c r="R9" s="18" t="s">
        <v>193</v>
      </c>
      <c r="T9" s="27" t="s">
        <v>50</v>
      </c>
      <c r="U9" s="28" t="s">
        <v>52</v>
      </c>
    </row>
    <row r="11" spans="8:21" x14ac:dyDescent="0.25">
      <c r="H11" s="88"/>
      <c r="I11" s="179" t="s">
        <v>43</v>
      </c>
      <c r="J11" s="180"/>
      <c r="K11" s="180"/>
      <c r="L11" s="180"/>
      <c r="M11" s="180"/>
      <c r="N11" s="180"/>
      <c r="O11" s="180"/>
      <c r="P11" s="180"/>
      <c r="Q11" s="180"/>
      <c r="R11" s="180"/>
    </row>
    <row r="12" spans="8:21" x14ac:dyDescent="0.25">
      <c r="H12" s="89" t="s">
        <v>94</v>
      </c>
      <c r="I12" s="17">
        <v>7</v>
      </c>
      <c r="J12" s="17">
        <v>1</v>
      </c>
      <c r="K12" s="17">
        <v>3</v>
      </c>
      <c r="L12" s="17">
        <v>2</v>
      </c>
      <c r="M12" s="17">
        <v>4</v>
      </c>
      <c r="N12" s="17">
        <v>9</v>
      </c>
      <c r="O12" s="17">
        <v>5</v>
      </c>
      <c r="P12" s="17">
        <v>10</v>
      </c>
      <c r="Q12" s="17">
        <v>11</v>
      </c>
      <c r="R12" s="17">
        <v>6</v>
      </c>
    </row>
    <row r="13" spans="8:21" ht="30" x14ac:dyDescent="0.25">
      <c r="H13" s="90" t="s">
        <v>93</v>
      </c>
      <c r="I13" s="81">
        <v>1</v>
      </c>
      <c r="J13" s="81">
        <v>2</v>
      </c>
      <c r="K13" s="81">
        <v>3</v>
      </c>
      <c r="L13" s="81">
        <v>4</v>
      </c>
      <c r="M13" s="81">
        <v>5</v>
      </c>
      <c r="N13" s="81">
        <v>6</v>
      </c>
      <c r="O13" s="81">
        <v>7</v>
      </c>
      <c r="P13" s="81">
        <v>8</v>
      </c>
      <c r="Q13" s="81">
        <v>9</v>
      </c>
      <c r="R13" s="81">
        <v>10</v>
      </c>
    </row>
    <row r="14" spans="8:21" x14ac:dyDescent="0.25">
      <c r="H14" s="88"/>
      <c r="I14" s="105" t="str">
        <f>+'Audit Tool'!F29</f>
        <v>No data</v>
      </c>
      <c r="J14" s="105" t="str">
        <f>+'Audit Tool'!G29</f>
        <v>No data</v>
      </c>
      <c r="K14" s="105" t="str">
        <f>+'Audit Tool'!J29</f>
        <v>No data</v>
      </c>
      <c r="L14" s="105" t="str">
        <f>+'Audit Tool'!L29</f>
        <v>No data</v>
      </c>
      <c r="M14" s="105" t="str">
        <f>+'Audit Tool'!N29</f>
        <v>No data</v>
      </c>
      <c r="N14" s="106" t="str">
        <f>+'Audit Tool'!T29</f>
        <v>No data</v>
      </c>
      <c r="O14" s="105" t="str">
        <f>+'Audit Tool'!V29</f>
        <v>No data</v>
      </c>
      <c r="P14" s="105" t="str">
        <f>+'Audit Tool'!X29</f>
        <v>No data</v>
      </c>
      <c r="Q14" s="105" t="str">
        <f>+'Audit Tool'!Z29</f>
        <v>No data</v>
      </c>
      <c r="R14" s="105" t="str">
        <f>+'Audit Tool'!AD29</f>
        <v>No data</v>
      </c>
      <c r="S14" s="22"/>
    </row>
    <row r="15" spans="8:21" x14ac:dyDescent="0.25">
      <c r="I15" s="16"/>
      <c r="J15" s="105" t="str">
        <f>+'Audit Tool'!H29</f>
        <v>No data</v>
      </c>
      <c r="K15" s="105" t="str">
        <f>+'Audit Tool'!K29</f>
        <v>No data</v>
      </c>
      <c r="L15" s="105" t="str">
        <f>+'Audit Tool'!M29</f>
        <v>No data</v>
      </c>
      <c r="M15" s="105" t="str">
        <f>+'Audit Tool'!O29</f>
        <v>No data</v>
      </c>
      <c r="N15" s="105" t="str">
        <f>+'Audit Tool'!U29</f>
        <v>No data</v>
      </c>
      <c r="O15" s="105" t="str">
        <f>+'Audit Tool'!W29</f>
        <v>No data</v>
      </c>
      <c r="P15" s="105" t="str">
        <f>+'Audit Tool'!Y29</f>
        <v>No data</v>
      </c>
      <c r="Q15" s="105" t="str">
        <f>+'Audit Tool'!AA29</f>
        <v>No data</v>
      </c>
      <c r="R15" s="105" t="str">
        <f>+'Audit Tool'!AE29</f>
        <v>No data</v>
      </c>
    </row>
    <row r="16" spans="8:21" x14ac:dyDescent="0.25">
      <c r="I16" s="16"/>
      <c r="J16" s="105" t="str">
        <f>+'Audit Tool'!I29</f>
        <v>No data</v>
      </c>
      <c r="K16" s="16"/>
      <c r="L16" s="16"/>
      <c r="M16" s="105" t="str">
        <f>+'Audit Tool'!P29</f>
        <v>No data</v>
      </c>
      <c r="N16" s="16"/>
      <c r="O16" s="20"/>
      <c r="P16" s="16"/>
      <c r="Q16" s="105" t="str">
        <f>+'Audit Tool'!AB29</f>
        <v>No data</v>
      </c>
      <c r="R16" s="105" t="str">
        <f>+'Audit Tool'!AF29</f>
        <v>No data</v>
      </c>
    </row>
    <row r="17" spans="9:19" x14ac:dyDescent="0.25">
      <c r="I17" s="16"/>
      <c r="J17" s="16"/>
      <c r="K17" s="16"/>
      <c r="L17" s="16"/>
      <c r="M17" s="105" t="str">
        <f>+'Audit Tool'!Q29</f>
        <v>No data</v>
      </c>
      <c r="N17" s="16"/>
      <c r="O17" s="20"/>
      <c r="P17" s="20"/>
      <c r="Q17" s="105" t="str">
        <f>+'Audit Tool'!AC29</f>
        <v>No data</v>
      </c>
      <c r="R17" s="105" t="str">
        <f>+'Audit Tool'!AG29</f>
        <v>No data</v>
      </c>
    </row>
    <row r="18" spans="9:19" x14ac:dyDescent="0.25">
      <c r="I18" s="16"/>
      <c r="J18" s="16"/>
      <c r="K18" s="16"/>
      <c r="L18" s="16"/>
      <c r="M18" s="105" t="str">
        <f>+'Audit Tool'!R29</f>
        <v>No data</v>
      </c>
      <c r="N18" s="16"/>
      <c r="O18" s="20"/>
      <c r="P18" s="16"/>
      <c r="Q18" s="20"/>
      <c r="R18" s="105" t="str">
        <f>+'Audit Tool'!AH29</f>
        <v>No data</v>
      </c>
    </row>
    <row r="19" spans="9:19" x14ac:dyDescent="0.25">
      <c r="I19" s="20"/>
      <c r="J19" s="16"/>
      <c r="K19" s="16"/>
      <c r="L19" s="16"/>
      <c r="M19" s="105" t="str">
        <f>+'Audit Tool'!S29</f>
        <v>No data</v>
      </c>
      <c r="N19" s="16"/>
      <c r="O19" s="20"/>
      <c r="P19" s="20"/>
      <c r="Q19" s="20"/>
      <c r="R19" s="105" t="str">
        <f>+'Audit Tool'!AI29</f>
        <v>No data</v>
      </c>
    </row>
    <row r="20" spans="9:19" x14ac:dyDescent="0.25">
      <c r="I20" s="16"/>
      <c r="J20" s="16"/>
      <c r="K20" s="16"/>
      <c r="L20" s="16"/>
      <c r="M20" s="16"/>
      <c r="N20" s="16"/>
      <c r="O20" s="104"/>
      <c r="P20" s="16"/>
      <c r="Q20" s="16"/>
      <c r="R20" s="105" t="str">
        <f>+'Audit Tool'!AJ29</f>
        <v>No data</v>
      </c>
    </row>
    <row r="21" spans="9:19" x14ac:dyDescent="0.25">
      <c r="I21" s="179" t="s">
        <v>48</v>
      </c>
      <c r="J21" s="181"/>
      <c r="K21" s="181"/>
      <c r="L21" s="181"/>
      <c r="M21" s="181"/>
      <c r="N21" s="181"/>
      <c r="O21" s="181"/>
      <c r="P21" s="181"/>
      <c r="Q21" s="181"/>
      <c r="R21" s="181"/>
      <c r="S21" s="2"/>
    </row>
    <row r="22" spans="9:19" x14ac:dyDescent="0.25">
      <c r="I22" s="76" t="str">
        <f>IF(I14="No data", "No data", IF(I14="NA","NA",IF(I14="%","%", SUM(I14:I14)/COUNT(I14:I14))))</f>
        <v>No data</v>
      </c>
      <c r="J22" s="76" t="str">
        <f>IF(J14="No data", "No data", IF(J14="NA","NA",IF(J14="%","%", SUM(J14:J16)/COUNT(J14:J16))))</f>
        <v>No data</v>
      </c>
      <c r="K22" s="76" t="str">
        <f>IF(K14="No data", "No data", IF(K14="NA","NA",IF(K14="%","%", SUM(K14:K15)/COUNT(K14:K15))))</f>
        <v>No data</v>
      </c>
      <c r="L22" s="76" t="str">
        <f>IF(L14="No data", "No data", IF(L14="NA","NA",IF(L14="%","%", SUM(L14:L15)/COUNT(L14:L15))))</f>
        <v>No data</v>
      </c>
      <c r="M22" s="76" t="str">
        <f>IF(M14="No data", "No data", IF(M14="NA","NA",IF(M14="%","%", SUM(M14:M19)/COUNT(M14:M19))))</f>
        <v>No data</v>
      </c>
      <c r="N22" s="76" t="str">
        <f>IF(N14="No data", "No data", IF(N14="NA","NA",IF(N14="%","%", SUM(N14:N15)/COUNT(N14:N15))))</f>
        <v>No data</v>
      </c>
      <c r="O22" s="76" t="str">
        <f>IF(O14="No data", "No data", IF(O14="NA","NA",IF(O14="%","%", SUM(O14:O15)/COUNT(O14:O15))))</f>
        <v>No data</v>
      </c>
      <c r="P22" s="76" t="str">
        <f>IF(P14="No data", "No data", IF(P14="NA","NA",IF(P14="%","%", SUM(P14:P15)/COUNT(P14:P15))))</f>
        <v>No data</v>
      </c>
      <c r="Q22" s="76" t="str">
        <f>IF(Q14="No data", "No data", IF(Q14="NA","NA",IF(Q14="%","%", SUM(Q14:Q17)/COUNT(Q14:Q17))))</f>
        <v>No data</v>
      </c>
      <c r="R22" s="76" t="str">
        <f>IF(R14="No data", "No data", IF(R14="NA","NA",IF(R14="%","%", SUM(R14:R20)/COUNT(R14:R20))))</f>
        <v>No data</v>
      </c>
    </row>
  </sheetData>
  <mergeCells count="5">
    <mergeCell ref="I1:R1"/>
    <mergeCell ref="T2:T6"/>
    <mergeCell ref="U2:U6"/>
    <mergeCell ref="I11:R11"/>
    <mergeCell ref="I21:R21"/>
  </mergeCells>
  <conditionalFormatting sqref="I22:R22">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I22:R22">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3"/>
  <sheetViews>
    <sheetView zoomScaleNormal="100" workbookViewId="0">
      <selection activeCell="A5" sqref="A5"/>
    </sheetView>
  </sheetViews>
  <sheetFormatPr defaultRowHeight="15" x14ac:dyDescent="0.25"/>
  <cols>
    <col min="1" max="1" width="26.7109375" style="21" customWidth="1"/>
    <col min="2" max="2" width="122.140625" style="15" customWidth="1"/>
    <col min="3" max="3" width="18.28515625" style="15" customWidth="1"/>
    <col min="4" max="16384" width="9.140625" style="15"/>
  </cols>
  <sheetData>
    <row r="1" spans="1:3" ht="18.75" customHeight="1" x14ac:dyDescent="0.25">
      <c r="A1" s="182" t="s">
        <v>9</v>
      </c>
      <c r="B1" s="183"/>
      <c r="C1" s="184"/>
    </row>
    <row r="2" spans="1:3" s="21" customFormat="1" ht="31.5" x14ac:dyDescent="0.25">
      <c r="A2" s="109"/>
      <c r="B2" s="110" t="s">
        <v>177</v>
      </c>
      <c r="C2" s="111"/>
    </row>
    <row r="3" spans="1:3" s="21" customFormat="1" ht="31.5" x14ac:dyDescent="0.25">
      <c r="A3" s="84" t="s">
        <v>92</v>
      </c>
      <c r="B3" s="84" t="s">
        <v>124</v>
      </c>
      <c r="C3" s="102" t="s">
        <v>90</v>
      </c>
    </row>
    <row r="4" spans="1:3" s="21" customFormat="1" ht="63" x14ac:dyDescent="0.25">
      <c r="A4" s="84">
        <v>1</v>
      </c>
      <c r="B4" s="95" t="s">
        <v>117</v>
      </c>
      <c r="C4" s="101" t="s">
        <v>61</v>
      </c>
    </row>
    <row r="5" spans="1:3" s="36" customFormat="1" ht="63" x14ac:dyDescent="0.25">
      <c r="A5" s="84">
        <v>2</v>
      </c>
      <c r="B5" s="100" t="s">
        <v>119</v>
      </c>
      <c r="C5" s="31" t="s">
        <v>61</v>
      </c>
    </row>
    <row r="6" spans="1:3" s="36" customFormat="1" ht="63" customHeight="1" x14ac:dyDescent="0.25">
      <c r="A6" s="84">
        <v>3</v>
      </c>
      <c r="B6" s="100" t="s">
        <v>125</v>
      </c>
      <c r="C6" s="31" t="s">
        <v>61</v>
      </c>
    </row>
    <row r="7" spans="1:3" s="36" customFormat="1" ht="110.25" x14ac:dyDescent="0.25">
      <c r="A7" s="84">
        <v>4</v>
      </c>
      <c r="B7" s="100" t="s">
        <v>118</v>
      </c>
      <c r="C7" s="31" t="s">
        <v>61</v>
      </c>
    </row>
    <row r="8" spans="1:3" s="36" customFormat="1" ht="47.25" x14ac:dyDescent="0.25">
      <c r="A8" s="84">
        <v>5</v>
      </c>
      <c r="B8" s="100" t="s">
        <v>120</v>
      </c>
      <c r="C8" s="31" t="s">
        <v>61</v>
      </c>
    </row>
    <row r="9" spans="1:3" s="36" customFormat="1" ht="126" x14ac:dyDescent="0.25">
      <c r="A9" s="84">
        <v>6</v>
      </c>
      <c r="B9" s="100" t="s">
        <v>121</v>
      </c>
      <c r="C9" s="31" t="s">
        <v>61</v>
      </c>
    </row>
    <row r="10" spans="1:3" ht="63" x14ac:dyDescent="0.25">
      <c r="A10" s="84">
        <v>7</v>
      </c>
      <c r="B10" s="95" t="s">
        <v>116</v>
      </c>
      <c r="C10" s="84"/>
    </row>
    <row r="11" spans="1:3" ht="63" x14ac:dyDescent="0.25">
      <c r="A11" s="84">
        <v>9</v>
      </c>
      <c r="B11" s="95" t="s">
        <v>158</v>
      </c>
      <c r="C11" s="84"/>
    </row>
    <row r="12" spans="1:3" ht="47.25" x14ac:dyDescent="0.25">
      <c r="A12" s="102">
        <v>10</v>
      </c>
      <c r="B12" s="95" t="s">
        <v>122</v>
      </c>
      <c r="C12" s="101"/>
    </row>
    <row r="13" spans="1:3" ht="60" x14ac:dyDescent="0.25">
      <c r="A13" s="102">
        <v>11</v>
      </c>
      <c r="B13" s="101" t="s">
        <v>123</v>
      </c>
      <c r="C13" s="101"/>
    </row>
  </sheetData>
  <mergeCells count="1">
    <mergeCell ref="A1:C1"/>
  </mergeCells>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workbookViewId="0">
      <selection activeCell="D12" sqref="D12"/>
    </sheetView>
  </sheetViews>
  <sheetFormatPr defaultRowHeight="15" x14ac:dyDescent="0.25"/>
  <cols>
    <col min="1" max="1" width="101.5703125" customWidth="1"/>
    <col min="2" max="2" width="15.5703125" style="136" bestFit="1" customWidth="1"/>
  </cols>
  <sheetData>
    <row r="1" spans="1:2" s="82" customFormat="1" x14ac:dyDescent="0.25">
      <c r="A1" s="82" t="s">
        <v>224</v>
      </c>
      <c r="B1" s="135"/>
    </row>
    <row r="3" spans="1:2" s="82" customFormat="1" x14ac:dyDescent="0.25">
      <c r="A3" s="143" t="s">
        <v>207</v>
      </c>
      <c r="B3" s="144" t="s">
        <v>208</v>
      </c>
    </row>
    <row r="4" spans="1:2" x14ac:dyDescent="0.25">
      <c r="A4" s="137" t="s">
        <v>210</v>
      </c>
      <c r="B4" s="140">
        <v>1</v>
      </c>
    </row>
    <row r="5" spans="1:2" x14ac:dyDescent="0.25">
      <c r="A5" s="137" t="s">
        <v>211</v>
      </c>
      <c r="B5" s="140">
        <v>1</v>
      </c>
    </row>
    <row r="6" spans="1:2" x14ac:dyDescent="0.25">
      <c r="A6" s="137" t="s">
        <v>212</v>
      </c>
      <c r="B6" s="140">
        <v>1</v>
      </c>
    </row>
    <row r="7" spans="1:2" x14ac:dyDescent="0.25">
      <c r="A7" s="137" t="s">
        <v>213</v>
      </c>
      <c r="B7" s="140">
        <v>1</v>
      </c>
    </row>
    <row r="8" spans="1:2" x14ac:dyDescent="0.25">
      <c r="A8" s="137" t="s">
        <v>214</v>
      </c>
      <c r="B8" s="140">
        <v>1</v>
      </c>
    </row>
    <row r="9" spans="1:2" x14ac:dyDescent="0.25">
      <c r="A9" s="137" t="s">
        <v>215</v>
      </c>
      <c r="B9" s="140">
        <v>1</v>
      </c>
    </row>
    <row r="10" spans="1:2" x14ac:dyDescent="0.25">
      <c r="A10" s="137" t="s">
        <v>216</v>
      </c>
      <c r="B10" s="140">
        <v>1</v>
      </c>
    </row>
    <row r="11" spans="1:2" x14ac:dyDescent="0.25">
      <c r="A11" s="137" t="s">
        <v>217</v>
      </c>
      <c r="B11" s="140">
        <v>1</v>
      </c>
    </row>
    <row r="12" spans="1:2" x14ac:dyDescent="0.25">
      <c r="A12" s="137" t="s">
        <v>218</v>
      </c>
      <c r="B12" s="140">
        <v>1</v>
      </c>
    </row>
    <row r="13" spans="1:2" x14ac:dyDescent="0.25">
      <c r="A13" s="137" t="s">
        <v>219</v>
      </c>
      <c r="B13" s="140">
        <v>-2</v>
      </c>
    </row>
    <row r="14" spans="1:2" x14ac:dyDescent="0.25">
      <c r="A14" s="137"/>
      <c r="B14" s="140"/>
    </row>
    <row r="15" spans="1:2" s="82" customFormat="1" x14ac:dyDescent="0.25">
      <c r="A15" s="138" t="s">
        <v>209</v>
      </c>
      <c r="B15" s="141"/>
    </row>
    <row r="16" spans="1:2" x14ac:dyDescent="0.25">
      <c r="A16" s="137" t="s">
        <v>221</v>
      </c>
      <c r="B16" s="140" t="s">
        <v>220</v>
      </c>
    </row>
    <row r="17" spans="1:2" x14ac:dyDescent="0.25">
      <c r="A17" s="139" t="s">
        <v>223</v>
      </c>
      <c r="B17" s="14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43" t="s">
        <v>80</v>
      </c>
    </row>
    <row r="3" spans="1:13" x14ac:dyDescent="0.25">
      <c r="A3" t="s">
        <v>66</v>
      </c>
      <c r="C3" t="s">
        <v>35</v>
      </c>
      <c r="E3" t="s">
        <v>10</v>
      </c>
      <c r="G3" t="s">
        <v>37</v>
      </c>
      <c r="I3" t="s">
        <v>67</v>
      </c>
      <c r="K3" t="s">
        <v>38</v>
      </c>
      <c r="M3" t="s">
        <v>39</v>
      </c>
    </row>
    <row r="4" spans="1:13" x14ac:dyDescent="0.25">
      <c r="A4" t="s">
        <v>68</v>
      </c>
      <c r="C4" t="s">
        <v>73</v>
      </c>
      <c r="E4" t="s">
        <v>12</v>
      </c>
      <c r="G4" t="s">
        <v>12</v>
      </c>
      <c r="I4" t="s">
        <v>12</v>
      </c>
      <c r="K4" t="s">
        <v>12</v>
      </c>
      <c r="M4" t="s">
        <v>12</v>
      </c>
    </row>
    <row r="5" spans="1:13" x14ac:dyDescent="0.25">
      <c r="A5" t="s">
        <v>13</v>
      </c>
      <c r="C5" t="s">
        <v>72</v>
      </c>
      <c r="E5" t="s">
        <v>14</v>
      </c>
      <c r="G5" t="s">
        <v>14</v>
      </c>
      <c r="I5" t="s">
        <v>14</v>
      </c>
      <c r="K5" t="s">
        <v>14</v>
      </c>
      <c r="M5" t="s">
        <v>14</v>
      </c>
    </row>
    <row r="6" spans="1:13" x14ac:dyDescent="0.25">
      <c r="E6" t="s">
        <v>74</v>
      </c>
      <c r="I6" t="s">
        <v>86</v>
      </c>
      <c r="K6" t="s">
        <v>89</v>
      </c>
      <c r="M6" t="s">
        <v>87</v>
      </c>
    </row>
    <row r="9" spans="1:13" x14ac:dyDescent="0.25">
      <c r="A9" t="s">
        <v>40</v>
      </c>
      <c r="C9" t="s">
        <v>69</v>
      </c>
      <c r="E9" t="s">
        <v>70</v>
      </c>
      <c r="G9" t="s">
        <v>71</v>
      </c>
    </row>
    <row r="10" spans="1:13" x14ac:dyDescent="0.25">
      <c r="A10" t="s">
        <v>12</v>
      </c>
      <c r="C10" t="s">
        <v>12</v>
      </c>
      <c r="E10" t="s">
        <v>12</v>
      </c>
      <c r="G10" t="s">
        <v>12</v>
      </c>
    </row>
    <row r="11" spans="1:13" x14ac:dyDescent="0.25">
      <c r="A11" t="s">
        <v>14</v>
      </c>
      <c r="C11" t="s">
        <v>14</v>
      </c>
      <c r="E11" t="s">
        <v>14</v>
      </c>
      <c r="G11" t="s">
        <v>14</v>
      </c>
    </row>
    <row r="12" spans="1:13" x14ac:dyDescent="0.25">
      <c r="A12" t="s">
        <v>76</v>
      </c>
      <c r="C12" t="s">
        <v>75</v>
      </c>
      <c r="E12" t="s">
        <v>88</v>
      </c>
      <c r="G12" t="s">
        <v>76</v>
      </c>
    </row>
    <row r="13" spans="1:13" x14ac:dyDescent="0.25">
      <c r="G13" t="s">
        <v>77</v>
      </c>
    </row>
    <row r="14" spans="1:13" x14ac:dyDescent="0.25">
      <c r="A14" t="s">
        <v>84</v>
      </c>
      <c r="C14" t="s">
        <v>85</v>
      </c>
    </row>
    <row r="15" spans="1:13" x14ac:dyDescent="0.25">
      <c r="A15" t="s">
        <v>12</v>
      </c>
      <c r="C15" t="s">
        <v>12</v>
      </c>
    </row>
    <row r="16" spans="1:13" x14ac:dyDescent="0.25">
      <c r="A16" t="s">
        <v>14</v>
      </c>
      <c r="C16" t="s">
        <v>14</v>
      </c>
    </row>
    <row r="17" spans="1:13" x14ac:dyDescent="0.25">
      <c r="A17" t="s">
        <v>78</v>
      </c>
      <c r="C17" t="s">
        <v>79</v>
      </c>
      <c r="J17" s="40"/>
      <c r="K17" s="41"/>
      <c r="L17" s="40"/>
      <c r="M17" s="40"/>
    </row>
    <row r="18" spans="1:13" x14ac:dyDescent="0.25">
      <c r="J18" s="40"/>
      <c r="K18" s="41"/>
      <c r="L18" s="40"/>
      <c r="M18" s="40"/>
    </row>
    <row r="19" spans="1:13" x14ac:dyDescent="0.25">
      <c r="J19" s="40"/>
      <c r="K19" s="41"/>
      <c r="L19" s="40"/>
      <c r="M19" s="40"/>
    </row>
    <row r="20" spans="1:13" x14ac:dyDescent="0.25">
      <c r="J20" s="40"/>
      <c r="K20" s="41"/>
      <c r="L20" s="40"/>
      <c r="M20" s="40"/>
    </row>
    <row r="21" spans="1:13" x14ac:dyDescent="0.25">
      <c r="J21" s="40"/>
      <c r="K21" s="41"/>
      <c r="L21" s="40"/>
      <c r="M21" s="40"/>
    </row>
    <row r="22" spans="1:13" x14ac:dyDescent="0.25">
      <c r="A22" s="42"/>
      <c r="C22" s="42"/>
      <c r="H22" s="43"/>
    </row>
    <row r="23" spans="1:13" x14ac:dyDescent="0.25">
      <c r="H23" s="4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25"/>
  <sheetViews>
    <sheetView workbookViewId="0">
      <selection activeCell="A5" sqref="A5"/>
    </sheetView>
  </sheetViews>
  <sheetFormatPr defaultRowHeight="15" x14ac:dyDescent="0.25"/>
  <cols>
    <col min="1" max="1" width="16.140625" style="103" bestFit="1" customWidth="1"/>
    <col min="2" max="2" width="9.140625" style="103"/>
    <col min="3" max="3" width="30.7109375" style="103" bestFit="1" customWidth="1"/>
    <col min="4" max="4" width="5.42578125" style="103" bestFit="1" customWidth="1"/>
    <col min="5" max="5" width="51.5703125" style="103" bestFit="1" customWidth="1"/>
    <col min="6" max="6" width="9.140625" style="103"/>
    <col min="7" max="7" width="8.7109375" style="103" bestFit="1" customWidth="1"/>
    <col min="8" max="8" width="9.140625" style="103"/>
    <col min="9" max="9" width="53.85546875" style="103" bestFit="1" customWidth="1"/>
    <col min="10" max="10" width="9.140625" style="103"/>
    <col min="11" max="11" width="21.42578125" style="103" bestFit="1" customWidth="1"/>
    <col min="12" max="12" width="9.140625" style="103"/>
    <col min="13" max="13" width="13.5703125" style="103" bestFit="1" customWidth="1"/>
    <col min="14" max="14" width="9.140625" style="103"/>
    <col min="15" max="15" width="37.28515625" style="103" bestFit="1" customWidth="1"/>
    <col min="16" max="16" width="9.140625" style="103"/>
    <col min="17" max="17" width="35.85546875" style="103" bestFit="1" customWidth="1"/>
    <col min="18" max="18" width="9.140625" style="103"/>
    <col min="19" max="19" width="29.42578125" style="103" bestFit="1" customWidth="1"/>
    <col min="20" max="20" width="9.140625" style="103"/>
    <col min="21" max="21" width="16" style="103" customWidth="1"/>
    <col min="22" max="22" width="9.140625" style="103"/>
    <col min="23" max="23" width="21.85546875" style="103" customWidth="1"/>
    <col min="24" max="24" width="9.140625" style="103"/>
    <col min="25" max="25" width="14.85546875" style="103" customWidth="1"/>
    <col min="26" max="26" width="9.140625" style="103"/>
    <col min="27" max="27" width="19.85546875" style="103" customWidth="1"/>
    <col min="28" max="29" width="19.85546875" style="132" customWidth="1"/>
    <col min="30" max="30" width="9.140625" style="103"/>
    <col min="31" max="31" width="36.7109375" style="103" customWidth="1"/>
    <col min="32" max="32" width="9.140625" style="103"/>
    <col min="33" max="33" width="18.85546875" style="103" customWidth="1"/>
    <col min="34" max="34" width="9.140625" style="103"/>
    <col min="35" max="35" width="17.7109375" style="103" customWidth="1"/>
    <col min="36" max="36" width="9.140625" style="103"/>
    <col min="37" max="37" width="17.7109375" style="103" customWidth="1"/>
    <col min="38" max="16384" width="9.140625" style="103"/>
  </cols>
  <sheetData>
    <row r="1" spans="1:37" x14ac:dyDescent="0.25">
      <c r="A1" s="103" t="s">
        <v>34</v>
      </c>
      <c r="C1" s="103" t="s">
        <v>35</v>
      </c>
      <c r="E1" s="103" t="s">
        <v>10</v>
      </c>
      <c r="G1" s="103" t="s">
        <v>37</v>
      </c>
      <c r="I1" s="103" t="s">
        <v>38</v>
      </c>
      <c r="K1" s="103" t="s">
        <v>39</v>
      </c>
      <c r="M1" s="103" t="s">
        <v>40</v>
      </c>
      <c r="O1" s="103" t="s">
        <v>69</v>
      </c>
      <c r="Q1" s="103" t="s">
        <v>70</v>
      </c>
      <c r="S1" s="103" t="s">
        <v>71</v>
      </c>
      <c r="U1" s="103" t="s">
        <v>84</v>
      </c>
      <c r="W1" s="103" t="s">
        <v>85</v>
      </c>
      <c r="Y1" s="103" t="s">
        <v>144</v>
      </c>
      <c r="AA1" s="103" t="s">
        <v>200</v>
      </c>
      <c r="AC1" s="132" t="s">
        <v>199</v>
      </c>
      <c r="AE1" s="103" t="s">
        <v>147</v>
      </c>
      <c r="AG1" s="103" t="s">
        <v>151</v>
      </c>
      <c r="AI1" s="107" t="s">
        <v>178</v>
      </c>
      <c r="AK1" s="107" t="s">
        <v>182</v>
      </c>
    </row>
    <row r="2" spans="1:37" x14ac:dyDescent="0.25">
      <c r="A2" s="103" t="s">
        <v>11</v>
      </c>
      <c r="C2" s="103" t="s">
        <v>12</v>
      </c>
      <c r="E2" s="103" t="s">
        <v>12</v>
      </c>
      <c r="G2" s="103" t="s">
        <v>12</v>
      </c>
      <c r="I2" s="103" t="s">
        <v>12</v>
      </c>
      <c r="K2" s="103" t="s">
        <v>12</v>
      </c>
      <c r="M2" s="103" t="s">
        <v>12</v>
      </c>
      <c r="O2" s="103" t="s">
        <v>12</v>
      </c>
      <c r="Q2" s="103" t="s">
        <v>12</v>
      </c>
      <c r="S2" s="103" t="s">
        <v>12</v>
      </c>
      <c r="U2" s="103" t="s">
        <v>12</v>
      </c>
      <c r="W2" s="103" t="s">
        <v>12</v>
      </c>
      <c r="Y2" s="103" t="s">
        <v>12</v>
      </c>
      <c r="AA2" s="103" t="s">
        <v>12</v>
      </c>
      <c r="AC2" s="132" t="s">
        <v>12</v>
      </c>
      <c r="AE2" s="103" t="s">
        <v>12</v>
      </c>
      <c r="AG2" s="103" t="s">
        <v>12</v>
      </c>
      <c r="AI2" s="107" t="s">
        <v>12</v>
      </c>
      <c r="AK2" s="107" t="s">
        <v>12</v>
      </c>
    </row>
    <row r="3" spans="1:37" x14ac:dyDescent="0.25">
      <c r="A3" s="103" t="s">
        <v>13</v>
      </c>
      <c r="C3" s="103" t="s">
        <v>14</v>
      </c>
      <c r="E3" s="103" t="s">
        <v>14</v>
      </c>
      <c r="G3" s="103" t="s">
        <v>14</v>
      </c>
      <c r="I3" s="103" t="s">
        <v>14</v>
      </c>
      <c r="K3" s="103" t="s">
        <v>14</v>
      </c>
      <c r="M3" s="103" t="s">
        <v>14</v>
      </c>
      <c r="O3" s="103" t="s">
        <v>14</v>
      </c>
      <c r="Q3" s="103" t="s">
        <v>14</v>
      </c>
      <c r="S3" s="103" t="s">
        <v>14</v>
      </c>
      <c r="U3" s="103" t="s">
        <v>14</v>
      </c>
      <c r="W3" s="103" t="s">
        <v>14</v>
      </c>
      <c r="Y3" s="103" t="s">
        <v>14</v>
      </c>
      <c r="AA3" s="103" t="s">
        <v>14</v>
      </c>
      <c r="AC3" s="132" t="s">
        <v>14</v>
      </c>
      <c r="AE3" s="103" t="s">
        <v>14</v>
      </c>
      <c r="AG3" s="103" t="s">
        <v>14</v>
      </c>
      <c r="AI3" s="107" t="s">
        <v>14</v>
      </c>
      <c r="AK3" s="107" t="s">
        <v>14</v>
      </c>
    </row>
    <row r="4" spans="1:37" ht="75" x14ac:dyDescent="0.25">
      <c r="A4" s="103" t="s">
        <v>197</v>
      </c>
      <c r="C4" s="103" t="s">
        <v>126</v>
      </c>
      <c r="E4" s="103" t="s">
        <v>127</v>
      </c>
      <c r="I4" s="103" t="s">
        <v>128</v>
      </c>
      <c r="K4" s="103" t="s">
        <v>130</v>
      </c>
      <c r="M4" s="103" t="s">
        <v>132</v>
      </c>
      <c r="O4" s="103" t="s">
        <v>136</v>
      </c>
      <c r="Q4" s="103" t="s">
        <v>138</v>
      </c>
      <c r="S4" s="103" t="s">
        <v>139</v>
      </c>
      <c r="U4" s="103" t="s">
        <v>140</v>
      </c>
      <c r="W4" s="103" t="s">
        <v>142</v>
      </c>
      <c r="Y4" s="103" t="s">
        <v>143</v>
      </c>
      <c r="AA4" s="103" t="s">
        <v>145</v>
      </c>
      <c r="AC4" s="132" t="s">
        <v>198</v>
      </c>
      <c r="AE4" s="103" t="s">
        <v>148</v>
      </c>
      <c r="AG4" s="103" t="s">
        <v>150</v>
      </c>
      <c r="AI4" s="107" t="s">
        <v>179</v>
      </c>
      <c r="AK4" s="107" t="s">
        <v>183</v>
      </c>
    </row>
    <row r="5" spans="1:37" x14ac:dyDescent="0.25">
      <c r="A5" s="112"/>
    </row>
    <row r="25" spans="4:4" x14ac:dyDescent="0.25">
      <c r="D25" s="103" t="b">
        <f>answer_sheet!C10=COUNTIF(D8:D17,"Unknown - no evidence of this in the casenotes")</f>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Introduction</vt:lpstr>
      <vt:lpstr>Instructions</vt:lpstr>
      <vt:lpstr>Audit Tool</vt:lpstr>
      <vt:lpstr>Summary</vt:lpstr>
      <vt:lpstr>Recommendations</vt:lpstr>
      <vt:lpstr>Definitions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2020-01-09T11:46:47Z</cp:lastPrinted>
  <dcterms:created xsi:type="dcterms:W3CDTF">2017-11-02T15:30:02Z</dcterms:created>
  <dcterms:modified xsi:type="dcterms:W3CDTF">2021-05-19T15:20:49Z</dcterms:modified>
</cp:coreProperties>
</file>